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distrito6bhi-my.sharepoint.com/personal/visado_distrito6bhi_onmicrosoft_com/Documents/CIVIL/"/>
    </mc:Choice>
  </mc:AlternateContent>
  <xr:revisionPtr revIDLastSave="26" documentId="13_ncr:1_{620101A0-3ACB-4ED5-9E1A-4D0B2356EFB3}" xr6:coauthVersionLast="47" xr6:coauthVersionMax="47" xr10:uidLastSave="{9EAC17CF-C044-4C30-B643-D6C1E8EF151B}"/>
  <bookViews>
    <workbookView xWindow="-120" yWindow="-120" windowWidth="29040" windowHeight="15720" tabRatio="883" activeTab="1" xr2:uid="{00000000-000D-0000-FFFF-FFFF00000000}"/>
  </bookViews>
  <sheets>
    <sheet name="Acta Est. Obra" sheetId="1" r:id="rId1"/>
    <sheet name="Datos" sheetId="2" r:id="rId2"/>
    <sheet name="Anexa" sheetId="3" r:id="rId3"/>
    <sheet name="Cont 9 art" sheetId="4" r:id="rId4"/>
    <sheet name="Cont 11 art" sheetId="5" r:id="rId5"/>
    <sheet name="Cont-Transcrip.Corrida" sheetId="6" r:id="rId6"/>
    <sheet name="Art. 29" sheetId="7" r:id="rId7"/>
    <sheet name="Reaj." sheetId="8" r:id="rId8"/>
    <sheet name="Cert. Constructor" sheetId="9" r:id="rId9"/>
    <sheet name="Importe" sheetId="10" state="hidden" r:id="rId10"/>
    <sheet name="Cálculos" sheetId="11" state="hidden" r:id="rId11"/>
    <sheet name="Inf.Tec-" sheetId="12" r:id="rId12"/>
    <sheet name="INF.TEC-POR M2" sheetId="13" r:id="rId13"/>
    <sheet name="R-115U" sheetId="15" r:id="rId14"/>
  </sheets>
  <definedNames>
    <definedName name="_xlnm.Print_Area" localSheetId="0">'Acta Est. Obra'!$A$1:$G$70</definedName>
    <definedName name="_xlnm.Print_Area" localSheetId="2">Anexa!$A$1:$I$79</definedName>
    <definedName name="_xlnm.Print_Area" localSheetId="6">'Art. 29'!$A$1:$L$52</definedName>
    <definedName name="_xlnm.Print_Area" localSheetId="8">'Cert. Constructor'!$A$1:$P$67</definedName>
    <definedName name="_xlnm.Print_Area" localSheetId="4">'Cont 11 art'!$A$1:$AB$72</definedName>
    <definedName name="_xlnm.Print_Area" localSheetId="3">'Cont 9 art'!$A$1:$AB$69</definedName>
    <definedName name="_xlnm.Print_Area" localSheetId="5">'Cont-Transcrip.Corrida'!$A$1:$A$31</definedName>
    <definedName name="_xlnm.Print_Area" localSheetId="7">'Reaj.'!$A$1:$AB$72</definedName>
    <definedName name="Z_3055A696_E36D_42C0_8DEA_BCF75BC71F7B_.wvu.Cols" localSheetId="10" hidden="1">Cálculos!$A:$O</definedName>
    <definedName name="Z_3055A696_E36D_42C0_8DEA_BCF75BC71F7B_.wvu.Cols" localSheetId="1" hidden="1">Datos!$AA:$AK</definedName>
    <definedName name="Z_3055A696_E36D_42C0_8DEA_BCF75BC71F7B_.wvu.PrintArea" localSheetId="0" hidden="1">'Acta Est. Obra'!$A$1:$G$70</definedName>
    <definedName name="Z_3055A696_E36D_42C0_8DEA_BCF75BC71F7B_.wvu.PrintArea" localSheetId="2" hidden="1">Anexa!$A$1:$I$79</definedName>
    <definedName name="Z_3055A696_E36D_42C0_8DEA_BCF75BC71F7B_.wvu.PrintArea" localSheetId="6" hidden="1">'Art. 29'!$A$1:$L$52</definedName>
    <definedName name="Z_3055A696_E36D_42C0_8DEA_BCF75BC71F7B_.wvu.PrintArea" localSheetId="8" hidden="1">'Cert. Constructor'!$A$1:$P$67</definedName>
    <definedName name="Z_3055A696_E36D_42C0_8DEA_BCF75BC71F7B_.wvu.PrintArea" localSheetId="4" hidden="1">'Cont 11 art'!$A$1:$AB$72</definedName>
    <definedName name="Z_3055A696_E36D_42C0_8DEA_BCF75BC71F7B_.wvu.PrintArea" localSheetId="3" hidden="1">'Cont 9 art'!$A$1:$AB$69</definedName>
    <definedName name="Z_3055A696_E36D_42C0_8DEA_BCF75BC71F7B_.wvu.PrintArea" localSheetId="5" hidden="1">'Cont-Transcrip.Corrida'!$A$1:$A$31</definedName>
    <definedName name="Z_3055A696_E36D_42C0_8DEA_BCF75BC71F7B_.wvu.PrintArea" localSheetId="7" hidden="1">'Reaj.'!$A$1:$AB$72</definedName>
    <definedName name="Z_3DA56FC4_53DE_48E1_9C8B_99A7C6BEC59A_.wvu.Cols" localSheetId="1" hidden="1">Datos!$Z:$Z,Datos!$AB:$AJ</definedName>
    <definedName name="Z_3DA56FC4_53DE_48E1_9C8B_99A7C6BEC59A_.wvu.PrintArea" localSheetId="0" hidden="1">'Acta Est. Obra'!$A$1:$G$70</definedName>
    <definedName name="Z_3DA56FC4_53DE_48E1_9C8B_99A7C6BEC59A_.wvu.PrintArea" localSheetId="2" hidden="1">Anexa!$A$3:$I$78</definedName>
    <definedName name="Z_3DA56FC4_53DE_48E1_9C8B_99A7C6BEC59A_.wvu.PrintArea" localSheetId="6" hidden="1">'Art. 29'!$A$1:$L$52</definedName>
    <definedName name="Z_3DA56FC4_53DE_48E1_9C8B_99A7C6BEC59A_.wvu.PrintArea" localSheetId="4" hidden="1">'Cont 11 art'!$A$1:$AB$72</definedName>
    <definedName name="Z_3DA56FC4_53DE_48E1_9C8B_99A7C6BEC59A_.wvu.PrintArea" localSheetId="3" hidden="1">'Cont 9 art'!$A$1:$AB$69</definedName>
    <definedName name="Z_3DA56FC4_53DE_48E1_9C8B_99A7C6BEC59A_.wvu.PrintArea" localSheetId="7" hidden="1">'Reaj.'!$A$1:$AB$72</definedName>
  </definedNames>
  <calcPr calcId="191029"/>
  <customWorkbookViews>
    <customWorkbookView name="user - Vista personalizada" guid="{3DA56FC4-53DE-48E1-9C8B-99A7C6BEC59A}" mergeInterval="0" personalView="1" maximized="1" windowWidth="780" windowHeight="418" tabRatio="883" activeSheetId="9" showStatusbar="0"/>
    <customWorkbookView name="Secretario - Vista personalizada" guid="{3055A696-E36D-42C0-8DEA-BCF75BC71F7B}" mergeInterval="0" personalView="1" maximized="1" windowWidth="1916" windowHeight="854" tabRatio="8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3" l="1"/>
  <c r="D42" i="15" l="1"/>
  <c r="D41" i="15"/>
  <c r="E34" i="15"/>
  <c r="I33" i="15"/>
  <c r="E30" i="15"/>
  <c r="E29" i="15"/>
  <c r="E22" i="15"/>
  <c r="I21" i="15"/>
  <c r="E18" i="15"/>
  <c r="E17" i="15"/>
  <c r="E14" i="15"/>
  <c r="F10" i="13" l="1"/>
  <c r="E10" i="13"/>
  <c r="F9" i="13"/>
  <c r="E9" i="13"/>
  <c r="H122" i="2"/>
  <c r="E67" i="3" s="1"/>
  <c r="D20" i="13"/>
  <c r="D19" i="13"/>
  <c r="D18" i="13"/>
  <c r="C20" i="13"/>
  <c r="C19" i="13"/>
  <c r="C18" i="13"/>
  <c r="C17" i="13"/>
  <c r="D17" i="13" s="1"/>
  <c r="D21" i="13"/>
  <c r="C21" i="13"/>
  <c r="B32" i="11"/>
  <c r="D32" i="11"/>
  <c r="A31" i="11"/>
  <c r="B31" i="11"/>
  <c r="B29" i="11"/>
  <c r="A21" i="6" s="1"/>
  <c r="B28" i="11"/>
  <c r="A20" i="6" s="1"/>
  <c r="B19" i="11"/>
  <c r="D19" i="11"/>
  <c r="C18" i="11"/>
  <c r="S23" i="10"/>
  <c r="P28" i="10" s="1"/>
  <c r="F18" i="11"/>
  <c r="J18" i="11"/>
  <c r="D12" i="3"/>
  <c r="E17" i="11" s="1"/>
  <c r="G12" i="3"/>
  <c r="F17" i="11" s="1"/>
  <c r="B17" i="11"/>
  <c r="A9" i="6" s="1"/>
  <c r="C16" i="11"/>
  <c r="E3" i="10"/>
  <c r="B8" i="10" s="1"/>
  <c r="B13" i="11"/>
  <c r="D13" i="11"/>
  <c r="F13" i="11"/>
  <c r="H13" i="11"/>
  <c r="J13" i="11"/>
  <c r="B14" i="11"/>
  <c r="D14" i="11"/>
  <c r="F14" i="11"/>
  <c r="H14" i="11"/>
  <c r="J14" i="11"/>
  <c r="B15" i="11"/>
  <c r="B8" i="11"/>
  <c r="D8" i="11"/>
  <c r="E8" i="11"/>
  <c r="G8" i="11"/>
  <c r="I8" i="11"/>
  <c r="J8" i="11"/>
  <c r="B9" i="11"/>
  <c r="D9" i="11"/>
  <c r="F9" i="11"/>
  <c r="G9" i="11"/>
  <c r="C10" i="11"/>
  <c r="E10" i="11"/>
  <c r="G10" i="11"/>
  <c r="I10" i="11"/>
  <c r="A11" i="11"/>
  <c r="B11" i="11"/>
  <c r="D11" i="11"/>
  <c r="F11" i="11"/>
  <c r="H11" i="11"/>
  <c r="J11" i="11"/>
  <c r="R129" i="2"/>
  <c r="A22" i="5" s="1"/>
  <c r="R67" i="2"/>
  <c r="G14" i="3" s="1"/>
  <c r="M20" i="9" s="1"/>
  <c r="F20" i="1"/>
  <c r="F22" i="1"/>
  <c r="F34" i="1"/>
  <c r="F35" i="1"/>
  <c r="F36" i="1"/>
  <c r="F43" i="1"/>
  <c r="F27" i="1"/>
  <c r="F28" i="1"/>
  <c r="F29" i="1"/>
  <c r="F30" i="1"/>
  <c r="F44" i="1"/>
  <c r="F46" i="1"/>
  <c r="R68" i="2"/>
  <c r="G15" i="3" s="1"/>
  <c r="M21" i="9" s="1"/>
  <c r="R69" i="2"/>
  <c r="G16" i="3" s="1"/>
  <c r="M22" i="9" s="1"/>
  <c r="E19" i="3"/>
  <c r="G19" i="3" s="1"/>
  <c r="M25" i="9" s="1"/>
  <c r="A46" i="3"/>
  <c r="F26" i="9" s="1"/>
  <c r="C46" i="3"/>
  <c r="J26" i="9" s="1"/>
  <c r="E26" i="9"/>
  <c r="AB99" i="2"/>
  <c r="AD99" i="2" s="1"/>
  <c r="AB100" i="2"/>
  <c r="AB101" i="2"/>
  <c r="AB102" i="2"/>
  <c r="AB103" i="2"/>
  <c r="E33" i="9"/>
  <c r="AB39" i="2"/>
  <c r="AD39" i="2" s="1"/>
  <c r="AB40" i="2"/>
  <c r="AB41" i="2"/>
  <c r="AB42" i="2"/>
  <c r="AB43" i="2"/>
  <c r="R78" i="2"/>
  <c r="G22" i="3" s="1"/>
  <c r="R85" i="2"/>
  <c r="L20" i="7" s="1"/>
  <c r="R79" i="2"/>
  <c r="G23" i="3" s="1"/>
  <c r="R80" i="2"/>
  <c r="G24" i="3" s="1"/>
  <c r="AB47" i="2"/>
  <c r="AD47" i="2" s="1"/>
  <c r="AB48" i="2"/>
  <c r="AB49" i="2"/>
  <c r="AB50" i="2"/>
  <c r="J85" i="2"/>
  <c r="K85" i="2" s="1"/>
  <c r="I86" i="2" s="1"/>
  <c r="F116" i="2"/>
  <c r="C61" i="3" s="1"/>
  <c r="R96" i="2"/>
  <c r="E99" i="2" s="1"/>
  <c r="I103" i="2" s="1"/>
  <c r="R101" i="2" s="1"/>
  <c r="E48" i="3" s="1"/>
  <c r="AB68" i="2"/>
  <c r="F41" i="1"/>
  <c r="F37" i="1"/>
  <c r="F38" i="1"/>
  <c r="F24" i="1"/>
  <c r="R70" i="2"/>
  <c r="G17" i="3" s="1"/>
  <c r="M23" i="9" s="1"/>
  <c r="F121" i="2"/>
  <c r="R107" i="2"/>
  <c r="R108" i="2" s="1"/>
  <c r="AD70" i="2" s="1"/>
  <c r="AB72" i="2"/>
  <c r="AD72" i="2" s="1"/>
  <c r="AB73" i="2"/>
  <c r="AB74" i="2"/>
  <c r="AB75" i="2"/>
  <c r="AB76" i="2"/>
  <c r="AB77" i="2"/>
  <c r="AB78" i="2"/>
  <c r="N59" i="2"/>
  <c r="E13" i="7"/>
  <c r="E28" i="3"/>
  <c r="E26" i="3"/>
  <c r="E27" i="3"/>
  <c r="E25" i="3"/>
  <c r="E21" i="3"/>
  <c r="I19" i="7"/>
  <c r="I18" i="7"/>
  <c r="I17" i="7"/>
  <c r="I16" i="7"/>
  <c r="I15" i="7"/>
  <c r="E19" i="7"/>
  <c r="H19" i="7"/>
  <c r="E18" i="7"/>
  <c r="H18" i="7"/>
  <c r="E17" i="7"/>
  <c r="H17" i="7"/>
  <c r="E16" i="7"/>
  <c r="H16" i="7"/>
  <c r="B28" i="3"/>
  <c r="D28" i="3"/>
  <c r="B27" i="3"/>
  <c r="D27" i="3"/>
  <c r="B26" i="3"/>
  <c r="D26" i="3"/>
  <c r="B25" i="3"/>
  <c r="D25" i="3"/>
  <c r="F19" i="1"/>
  <c r="F21" i="1"/>
  <c r="F23" i="1"/>
  <c r="F25" i="1"/>
  <c r="F32" i="1"/>
  <c r="F33" i="1"/>
  <c r="F40" i="1"/>
  <c r="F42" i="1"/>
  <c r="F45" i="1"/>
  <c r="AC115" i="2"/>
  <c r="AF114" i="2"/>
  <c r="AE114" i="2"/>
  <c r="AC114" i="2"/>
  <c r="AF113" i="2"/>
  <c r="AC113" i="2"/>
  <c r="Y137" i="2"/>
  <c r="Y104" i="2"/>
  <c r="Y102" i="2"/>
  <c r="AB54" i="2"/>
  <c r="AD54" i="2" s="1"/>
  <c r="AB55" i="2"/>
  <c r="AB56" i="2"/>
  <c r="AB57" i="2"/>
  <c r="AB58" i="2"/>
  <c r="E41" i="10"/>
  <c r="E42" i="10" s="1"/>
  <c r="S3" i="10"/>
  <c r="P8" i="10" s="1"/>
  <c r="V12" i="2"/>
  <c r="Y20" i="2"/>
  <c r="Y21" i="2"/>
  <c r="Y24" i="2"/>
  <c r="Y22" i="2"/>
  <c r="Y29" i="2"/>
  <c r="Y28" i="2"/>
  <c r="Y27" i="2"/>
  <c r="Y23" i="2"/>
  <c r="Y141" i="2"/>
  <c r="Y140" i="2"/>
  <c r="Y139" i="2"/>
  <c r="Y59" i="2"/>
  <c r="Y40" i="2"/>
  <c r="Y87" i="2"/>
  <c r="Y86" i="2"/>
  <c r="AE109" i="2"/>
  <c r="J52" i="9"/>
  <c r="G145" i="2"/>
  <c r="G149" i="2" s="1"/>
  <c r="AE88" i="2"/>
  <c r="AC89" i="2" s="1"/>
  <c r="D18" i="3"/>
  <c r="H24" i="9" s="1"/>
  <c r="E71" i="2"/>
  <c r="C18" i="3" s="1"/>
  <c r="F24" i="9" s="1"/>
  <c r="C17" i="3"/>
  <c r="F23" i="9" s="1"/>
  <c r="C16" i="3"/>
  <c r="F22" i="9" s="1"/>
  <c r="C15" i="3"/>
  <c r="F21" i="9" s="1"/>
  <c r="C14" i="3"/>
  <c r="F20" i="9" s="1"/>
  <c r="G13" i="3"/>
  <c r="J19" i="9" s="1"/>
  <c r="O103" i="2"/>
  <c r="C66" i="3"/>
  <c r="C63" i="3"/>
  <c r="F118" i="2"/>
  <c r="B119" i="2"/>
  <c r="C65" i="3"/>
  <c r="M64" i="2"/>
  <c r="Y118" i="2"/>
  <c r="Y119" i="2"/>
  <c r="Y89" i="2"/>
  <c r="Y85" i="2"/>
  <c r="Y58" i="2"/>
  <c r="Y50" i="2"/>
  <c r="Y49" i="2"/>
  <c r="Y45" i="2"/>
  <c r="Y44" i="2"/>
  <c r="Y43" i="2"/>
  <c r="Y39" i="2"/>
  <c r="Y38" i="2"/>
  <c r="Y17" i="2"/>
  <c r="Y37" i="2"/>
  <c r="Y36" i="2"/>
  <c r="H138" i="2"/>
  <c r="H18" i="11" s="1"/>
  <c r="C26" i="9"/>
  <c r="A26" i="6"/>
  <c r="A19" i="6"/>
  <c r="A16" i="6"/>
  <c r="A18" i="6"/>
  <c r="A17" i="6"/>
  <c r="A15" i="6"/>
  <c r="A14" i="6"/>
  <c r="A13" i="6"/>
  <c r="Q7" i="9"/>
  <c r="R36" i="2"/>
  <c r="M43" i="9"/>
  <c r="E7" i="9"/>
  <c r="C43" i="9" s="1"/>
  <c r="R71" i="8"/>
  <c r="E71" i="8"/>
  <c r="R71" i="5"/>
  <c r="F71" i="5"/>
  <c r="E66" i="4"/>
  <c r="Q66" i="4"/>
  <c r="E44" i="9"/>
  <c r="V67" i="4"/>
  <c r="N48" i="9"/>
  <c r="M48" i="9"/>
  <c r="L48" i="9"/>
  <c r="N10" i="9"/>
  <c r="L10" i="9"/>
  <c r="J10" i="9"/>
  <c r="H10" i="9"/>
  <c r="F10" i="9"/>
  <c r="D10" i="9"/>
  <c r="L9" i="9"/>
  <c r="H9" i="9"/>
  <c r="D9" i="9"/>
  <c r="N19" i="9"/>
  <c r="AB105" i="2"/>
  <c r="E14" i="3"/>
  <c r="J20" i="9" s="1"/>
  <c r="E15" i="3"/>
  <c r="J21" i="9" s="1"/>
  <c r="E16" i="3"/>
  <c r="J22" i="9" s="1"/>
  <c r="E17" i="3"/>
  <c r="J23" i="9" s="1"/>
  <c r="J5" i="8"/>
  <c r="F6" i="8"/>
  <c r="M6" i="8"/>
  <c r="S6" i="8"/>
  <c r="X6" i="8"/>
  <c r="A7" i="8"/>
  <c r="G7" i="8"/>
  <c r="M7" i="8"/>
  <c r="A8" i="8"/>
  <c r="K8" i="8"/>
  <c r="V8" i="8"/>
  <c r="A9" i="8"/>
  <c r="K9" i="8"/>
  <c r="A10" i="8"/>
  <c r="N10" i="8"/>
  <c r="X10" i="8"/>
  <c r="A11" i="8"/>
  <c r="H11" i="8"/>
  <c r="Q11" i="8"/>
  <c r="A12" i="8"/>
  <c r="X12" i="8"/>
  <c r="O14" i="8"/>
  <c r="H15" i="8"/>
  <c r="P15" i="8"/>
  <c r="W15" i="8"/>
  <c r="E16" i="8"/>
  <c r="C17" i="8"/>
  <c r="G17" i="8"/>
  <c r="K17" i="8"/>
  <c r="P17" i="8"/>
  <c r="T17" i="8"/>
  <c r="H25" i="8"/>
  <c r="T31" i="8"/>
  <c r="T34" i="8"/>
  <c r="Y34" i="8"/>
  <c r="X62" i="8"/>
  <c r="H65" i="8"/>
  <c r="I72" i="8"/>
  <c r="T72" i="8"/>
  <c r="J8" i="7"/>
  <c r="A9" i="7"/>
  <c r="E9" i="7"/>
  <c r="E10" i="7"/>
  <c r="J10" i="7"/>
  <c r="E11" i="7"/>
  <c r="G11" i="7"/>
  <c r="J11" i="7"/>
  <c r="J20" i="7"/>
  <c r="F39" i="7"/>
  <c r="G39" i="7"/>
  <c r="I39" i="7"/>
  <c r="K39" i="7"/>
  <c r="D47" i="7"/>
  <c r="K47" i="7"/>
  <c r="J48" i="7"/>
  <c r="B10" i="1"/>
  <c r="B11" i="1"/>
  <c r="C11" i="1"/>
  <c r="D11" i="1"/>
  <c r="G11" i="1"/>
  <c r="B12" i="1"/>
  <c r="B13" i="1"/>
  <c r="D13" i="1"/>
  <c r="F13" i="1"/>
  <c r="B14" i="1"/>
  <c r="B15" i="1"/>
  <c r="C15" i="1"/>
  <c r="D15" i="1"/>
  <c r="G15" i="1"/>
  <c r="D48" i="1"/>
  <c r="E53" i="1"/>
  <c r="D57" i="1"/>
  <c r="G57" i="1"/>
  <c r="B58" i="1"/>
  <c r="A65" i="1"/>
  <c r="E65" i="1"/>
  <c r="F66" i="1"/>
  <c r="F6" i="5"/>
  <c r="M6" i="5"/>
  <c r="S6" i="5"/>
  <c r="X6" i="5"/>
  <c r="A7" i="5"/>
  <c r="G7" i="5"/>
  <c r="M7" i="5"/>
  <c r="A8" i="5"/>
  <c r="K8" i="5"/>
  <c r="V8" i="5"/>
  <c r="A9" i="5"/>
  <c r="K9" i="5"/>
  <c r="A10" i="5"/>
  <c r="M10" i="5"/>
  <c r="X10" i="5"/>
  <c r="A11" i="5"/>
  <c r="H11" i="5"/>
  <c r="Q11" i="5"/>
  <c r="A12" i="5"/>
  <c r="X12" i="5"/>
  <c r="O14" i="5"/>
  <c r="H15" i="5"/>
  <c r="O15" i="5"/>
  <c r="W15" i="5"/>
  <c r="E16" i="5"/>
  <c r="C17" i="5"/>
  <c r="G17" i="5"/>
  <c r="K17" i="5"/>
  <c r="P17" i="5"/>
  <c r="T17" i="5"/>
  <c r="H25" i="5"/>
  <c r="T31" i="5"/>
  <c r="F32" i="5"/>
  <c r="A33" i="5"/>
  <c r="T34" i="5"/>
  <c r="Y34" i="5"/>
  <c r="X62" i="5"/>
  <c r="H65" i="5"/>
  <c r="I72" i="5"/>
  <c r="V72" i="5"/>
  <c r="E6" i="4"/>
  <c r="M6" i="4"/>
  <c r="R6" i="4"/>
  <c r="X6" i="4"/>
  <c r="A7" i="4"/>
  <c r="G7" i="4"/>
  <c r="M7" i="4"/>
  <c r="A8" i="4"/>
  <c r="K8" i="4"/>
  <c r="V8" i="4"/>
  <c r="A9" i="4"/>
  <c r="K9" i="4"/>
  <c r="A10" i="4"/>
  <c r="L10" i="4"/>
  <c r="X10" i="4"/>
  <c r="A11" i="4"/>
  <c r="H11" i="4"/>
  <c r="Q11" i="4"/>
  <c r="A12" i="4"/>
  <c r="Z12" i="4"/>
  <c r="O15" i="4"/>
  <c r="H16" i="4"/>
  <c r="N16" i="4"/>
  <c r="U16" i="4"/>
  <c r="A17" i="4"/>
  <c r="G17" i="4"/>
  <c r="K17" i="4"/>
  <c r="O17" i="4"/>
  <c r="S17" i="4"/>
  <c r="W17" i="4"/>
  <c r="W25" i="4"/>
  <c r="F26" i="4"/>
  <c r="A27" i="4"/>
  <c r="F31" i="4"/>
  <c r="K31" i="4"/>
  <c r="E54" i="4"/>
  <c r="G58" i="4"/>
  <c r="J67" i="4"/>
  <c r="I5" i="3"/>
  <c r="G7" i="3"/>
  <c r="A8" i="3"/>
  <c r="C8" i="3"/>
  <c r="A9" i="3"/>
  <c r="D9" i="3"/>
  <c r="H9" i="3"/>
  <c r="A10" i="3"/>
  <c r="C10" i="3"/>
  <c r="E10" i="3"/>
  <c r="H10" i="3"/>
  <c r="B11" i="3"/>
  <c r="D11" i="3"/>
  <c r="F11" i="3"/>
  <c r="H11" i="3"/>
  <c r="B22" i="3"/>
  <c r="D22" i="3"/>
  <c r="B23" i="3"/>
  <c r="D23" i="3"/>
  <c r="B24" i="3"/>
  <c r="D24" i="3"/>
  <c r="E29" i="3"/>
  <c r="A47" i="3"/>
  <c r="B47" i="3"/>
  <c r="C47" i="3"/>
  <c r="D48" i="3"/>
  <c r="B53" i="3"/>
  <c r="B59" i="3"/>
  <c r="B62" i="3"/>
  <c r="A64" i="3"/>
  <c r="F64" i="3"/>
  <c r="G65" i="3"/>
  <c r="E69" i="3"/>
  <c r="R66" i="2"/>
  <c r="T131" i="2" s="1"/>
  <c r="G69" i="3" s="1"/>
  <c r="A72" i="3"/>
  <c r="C72" i="3"/>
  <c r="D72" i="3"/>
  <c r="H74" i="3"/>
  <c r="A76" i="3"/>
  <c r="C76" i="3"/>
  <c r="D76" i="3"/>
  <c r="E76" i="3"/>
  <c r="A77" i="3"/>
  <c r="C77" i="3"/>
  <c r="D77" i="3"/>
  <c r="E77" i="3"/>
  <c r="AB29" i="2"/>
  <c r="AC29" i="2" s="1"/>
  <c r="Y30" i="2"/>
  <c r="Y32" i="2"/>
  <c r="Y33" i="2"/>
  <c r="Y41" i="2"/>
  <c r="Y47" i="2"/>
  <c r="Y48" i="2"/>
  <c r="AB44" i="2"/>
  <c r="Y52" i="2"/>
  <c r="Y53" i="2"/>
  <c r="Y54" i="2"/>
  <c r="AB51" i="2"/>
  <c r="Y55" i="2"/>
  <c r="Y56" i="2"/>
  <c r="Y57" i="2"/>
  <c r="Y61" i="2"/>
  <c r="Y62" i="2"/>
  <c r="AB59" i="2"/>
  <c r="Y63" i="2"/>
  <c r="Y65" i="2"/>
  <c r="AG62" i="2"/>
  <c r="AG63" i="2" s="1"/>
  <c r="AG64" i="2" s="1"/>
  <c r="AF62" i="2"/>
  <c r="AF63" i="2" s="1"/>
  <c r="AF64" i="2" s="1"/>
  <c r="Y66" i="2"/>
  <c r="Y67" i="2"/>
  <c r="Y68" i="2"/>
  <c r="Y70" i="2"/>
  <c r="Y72" i="2"/>
  <c r="Y73" i="2"/>
  <c r="Y74" i="2"/>
  <c r="R72" i="2"/>
  <c r="Y75" i="2"/>
  <c r="Y77" i="2"/>
  <c r="Y78" i="2"/>
  <c r="Y79" i="2"/>
  <c r="Y81" i="2"/>
  <c r="Y82" i="2"/>
  <c r="AB79" i="2"/>
  <c r="Y83" i="2"/>
  <c r="AB85" i="2"/>
  <c r="AB86" i="2"/>
  <c r="AB87" i="2"/>
  <c r="Y92" i="2"/>
  <c r="Y93" i="2"/>
  <c r="Y94" i="2"/>
  <c r="Y106" i="2"/>
  <c r="Y108" i="2"/>
  <c r="Y109" i="2"/>
  <c r="Y110" i="2"/>
  <c r="Y111" i="2"/>
  <c r="Y112" i="2"/>
  <c r="Y114" i="2"/>
  <c r="Y115" i="2"/>
  <c r="F114" i="2"/>
  <c r="Y116" i="2"/>
  <c r="F119" i="2"/>
  <c r="F120" i="2"/>
  <c r="Y121" i="2"/>
  <c r="Y122" i="2"/>
  <c r="Y123" i="2"/>
  <c r="Y124" i="2"/>
  <c r="Y126" i="2"/>
  <c r="Y128" i="2"/>
  <c r="Y129" i="2"/>
  <c r="Y132" i="2"/>
  <c r="Y133" i="2"/>
  <c r="Y135" i="2"/>
  <c r="Y136" i="2"/>
  <c r="L135" i="2"/>
  <c r="R163" i="2"/>
  <c r="G29" i="3"/>
  <c r="R82" i="2"/>
  <c r="R84" i="2"/>
  <c r="R71" i="2"/>
  <c r="R81" i="2"/>
  <c r="R83" i="2"/>
  <c r="F28" i="3"/>
  <c r="F26" i="3"/>
  <c r="J19" i="7"/>
  <c r="J17" i="7"/>
  <c r="B18" i="3"/>
  <c r="F27" i="3"/>
  <c r="F25" i="3"/>
  <c r="J18" i="7"/>
  <c r="J16" i="7"/>
  <c r="O71" i="2"/>
  <c r="E24" i="9"/>
  <c r="J71" i="2"/>
  <c r="E18" i="3" s="1"/>
  <c r="J24" i="9" s="1"/>
  <c r="P10" i="10"/>
  <c r="Q10" i="10" s="1"/>
  <c r="Y13" i="2" l="1"/>
  <c r="X13" i="2" s="1"/>
  <c r="L19" i="7"/>
  <c r="G26" i="3"/>
  <c r="S24" i="10"/>
  <c r="S25" i="10" s="1"/>
  <c r="S4" i="10"/>
  <c r="X8" i="10" s="1"/>
  <c r="X11" i="10" s="1"/>
  <c r="Y11" i="10" s="1"/>
  <c r="G28" i="3"/>
  <c r="A6" i="6"/>
  <c r="AD100" i="2"/>
  <c r="AD101" i="2" s="1"/>
  <c r="AD102" i="2" s="1"/>
  <c r="AD103" i="2" s="1"/>
  <c r="AD55" i="2"/>
  <c r="AD56" i="2" s="1"/>
  <c r="AD57" i="2" s="1"/>
  <c r="AD58" i="2" s="1"/>
  <c r="G27" i="3"/>
  <c r="G77" i="3"/>
  <c r="A10" i="6"/>
  <c r="X10" i="10"/>
  <c r="Y10" i="10" s="1"/>
  <c r="F48" i="1"/>
  <c r="F50" i="1" s="1"/>
  <c r="M26" i="9"/>
  <c r="AE73" i="2"/>
  <c r="AG73" i="2" s="1"/>
  <c r="P163" i="2"/>
  <c r="R97" i="2"/>
  <c r="E46" i="3" s="1"/>
  <c r="AG72" i="2"/>
  <c r="AE78" i="2"/>
  <c r="AG78" i="2" s="1"/>
  <c r="AE74" i="2"/>
  <c r="AF74" i="2" s="1"/>
  <c r="AH72" i="2"/>
  <c r="AE79" i="2"/>
  <c r="AH79" i="2" s="1"/>
  <c r="AE76" i="2"/>
  <c r="AH76" i="2" s="1"/>
  <c r="L16" i="7"/>
  <c r="A28" i="8"/>
  <c r="A28" i="5"/>
  <c r="AB30" i="2"/>
  <c r="AB31" i="2" s="1"/>
  <c r="Y21" i="4"/>
  <c r="A22" i="8"/>
  <c r="K28" i="8"/>
  <c r="E138" i="2"/>
  <c r="K28" i="5"/>
  <c r="L18" i="7"/>
  <c r="B46" i="10"/>
  <c r="B48" i="10" s="1"/>
  <c r="C48" i="10" s="1"/>
  <c r="R73" i="2"/>
  <c r="B33" i="3" s="1"/>
  <c r="L17" i="7"/>
  <c r="G9" i="13"/>
  <c r="G25" i="3"/>
  <c r="AD48" i="2"/>
  <c r="AD49" i="2" s="1"/>
  <c r="AD50" i="2" s="1"/>
  <c r="AD73" i="2"/>
  <c r="AD74" i="2" s="1"/>
  <c r="AD75" i="2" s="1"/>
  <c r="AD76" i="2" s="1"/>
  <c r="AD77" i="2" s="1"/>
  <c r="AD78" i="2" s="1"/>
  <c r="AD40" i="2"/>
  <c r="AD41" i="2" s="1"/>
  <c r="AD42" i="2" s="1"/>
  <c r="AD43" i="2" s="1"/>
  <c r="J46" i="10"/>
  <c r="J48" i="10" s="1"/>
  <c r="K48" i="10" s="1"/>
  <c r="E43" i="10"/>
  <c r="P30" i="10"/>
  <c r="Q30" i="10" s="1"/>
  <c r="P33" i="10"/>
  <c r="P31" i="10"/>
  <c r="Q31" i="10" s="1"/>
  <c r="A28" i="6"/>
  <c r="AC110" i="2"/>
  <c r="J48" i="9" s="1"/>
  <c r="E4" i="10"/>
  <c r="J8" i="10" s="1"/>
  <c r="A27" i="6"/>
  <c r="E72" i="3"/>
  <c r="R164" i="2"/>
  <c r="P164" i="2" s="1"/>
  <c r="R86" i="2"/>
  <c r="AD46" i="2" s="1"/>
  <c r="AE50" i="2" s="1"/>
  <c r="AD53" i="2"/>
  <c r="AH54" i="2" s="1"/>
  <c r="G10" i="13"/>
  <c r="G18" i="3"/>
  <c r="A12" i="6"/>
  <c r="F46" i="10"/>
  <c r="F48" i="10" s="1"/>
  <c r="G48" i="10" s="1"/>
  <c r="A7" i="6"/>
  <c r="B10" i="10"/>
  <c r="C10" i="10" s="1"/>
  <c r="B11" i="10"/>
  <c r="G76" i="3"/>
  <c r="R165" i="2"/>
  <c r="P165" i="2" s="1"/>
  <c r="X12" i="10"/>
  <c r="Y12" i="10" s="1"/>
  <c r="AE77" i="2"/>
  <c r="AE75" i="2"/>
  <c r="H119" i="2"/>
  <c r="E65" i="3" s="1"/>
  <c r="H121" i="2"/>
  <c r="E66" i="3" s="1"/>
  <c r="H116" i="2"/>
  <c r="E61" i="3" s="1"/>
  <c r="R100" i="2"/>
  <c r="B13" i="10"/>
  <c r="T8" i="10"/>
  <c r="P13" i="10"/>
  <c r="P11" i="10"/>
  <c r="AI72" i="2" l="1"/>
  <c r="AJ72" i="2" s="1"/>
  <c r="G30" i="3"/>
  <c r="B51" i="10"/>
  <c r="X28" i="10"/>
  <c r="X31" i="10" s="1"/>
  <c r="T28" i="10"/>
  <c r="T31" i="10" s="1"/>
  <c r="P32" i="10"/>
  <c r="R31" i="10" s="1"/>
  <c r="S5" i="10"/>
  <c r="P15" i="10" s="1"/>
  <c r="T3" i="10" s="1"/>
  <c r="K154" i="2" s="1"/>
  <c r="D36" i="7" s="1"/>
  <c r="J49" i="10"/>
  <c r="K49" i="10" s="1"/>
  <c r="B49" i="10"/>
  <c r="B50" i="10" s="1"/>
  <c r="D49" i="10" s="1"/>
  <c r="L22" i="7"/>
  <c r="L27" i="7" s="1"/>
  <c r="AH73" i="2"/>
  <c r="AI73" i="2" s="1"/>
  <c r="AH74" i="2"/>
  <c r="AF73" i="2"/>
  <c r="AC30" i="2"/>
  <c r="AF78" i="2"/>
  <c r="AF76" i="2"/>
  <c r="AH78" i="2"/>
  <c r="AI78" i="2" s="1"/>
  <c r="AE59" i="2"/>
  <c r="AG59" i="2" s="1"/>
  <c r="F51" i="10"/>
  <c r="F49" i="10"/>
  <c r="G49" i="10" s="1"/>
  <c r="AG74" i="2"/>
  <c r="AF79" i="2"/>
  <c r="AG76" i="2"/>
  <c r="AI76" i="2" s="1"/>
  <c r="AG79" i="2"/>
  <c r="AI79" i="2" s="1"/>
  <c r="AE55" i="2"/>
  <c r="AF55" i="2" s="1"/>
  <c r="AG54" i="2"/>
  <c r="AI54" i="2" s="1"/>
  <c r="AJ54" i="2" s="1"/>
  <c r="AE51" i="2"/>
  <c r="AG51" i="2" s="1"/>
  <c r="AE57" i="2"/>
  <c r="AF57" i="2" s="1"/>
  <c r="AD38" i="2"/>
  <c r="AG39" i="2" s="1"/>
  <c r="F11" i="13"/>
  <c r="F17" i="13" s="1"/>
  <c r="G17" i="13" s="1"/>
  <c r="E5" i="10"/>
  <c r="F8" i="10"/>
  <c r="AE48" i="2"/>
  <c r="AF48" i="2" s="1"/>
  <c r="Z11" i="10"/>
  <c r="AG47" i="2"/>
  <c r="B40" i="3"/>
  <c r="AE49" i="2"/>
  <c r="AH47" i="2"/>
  <c r="AE56" i="2"/>
  <c r="AE58" i="2"/>
  <c r="M24" i="9"/>
  <c r="M27" i="9" s="1"/>
  <c r="AD98" i="2" s="1"/>
  <c r="G20" i="3"/>
  <c r="B12" i="10"/>
  <c r="D11" i="10" s="1"/>
  <c r="C11" i="10"/>
  <c r="J10" i="10"/>
  <c r="K10" i="10" s="1"/>
  <c r="J11" i="10"/>
  <c r="AH50" i="2"/>
  <c r="AF50" i="2"/>
  <c r="AG50" i="2"/>
  <c r="Q11" i="10"/>
  <c r="P12" i="10"/>
  <c r="R11" i="10" s="1"/>
  <c r="T13" i="10"/>
  <c r="T11" i="10"/>
  <c r="T10" i="10"/>
  <c r="U10" i="10" s="1"/>
  <c r="R102" i="2"/>
  <c r="E47" i="3"/>
  <c r="AH75" i="2"/>
  <c r="AG75" i="2"/>
  <c r="AF75" i="2"/>
  <c r="AE83" i="2"/>
  <c r="D109" i="2" s="1"/>
  <c r="D54" i="3" s="1"/>
  <c r="F50" i="10"/>
  <c r="H49" i="10" s="1"/>
  <c r="AH77" i="2"/>
  <c r="AF77" i="2"/>
  <c r="AG77" i="2"/>
  <c r="J50" i="10"/>
  <c r="L49" i="10" s="1"/>
  <c r="K50" i="10"/>
  <c r="AB32" i="2"/>
  <c r="AC31" i="2"/>
  <c r="T30" i="10"/>
  <c r="U30" i="10" s="1"/>
  <c r="T33" i="10"/>
  <c r="C49" i="10"/>
  <c r="Q32" i="10" l="1"/>
  <c r="X30" i="10"/>
  <c r="Y30" i="10" s="1"/>
  <c r="C50" i="10"/>
  <c r="G50" i="10"/>
  <c r="AI74" i="2"/>
  <c r="AJ74" i="2" s="1"/>
  <c r="AJ79" i="2"/>
  <c r="AJ78" i="2"/>
  <c r="AG55" i="2"/>
  <c r="AJ76" i="2"/>
  <c r="AJ73" i="2"/>
  <c r="AF59" i="2"/>
  <c r="AH59" i="2"/>
  <c r="AI59" i="2" s="1"/>
  <c r="AH51" i="2"/>
  <c r="AI51" i="2" s="1"/>
  <c r="AH55" i="2"/>
  <c r="Q12" i="10"/>
  <c r="AH57" i="2"/>
  <c r="AG57" i="2"/>
  <c r="AF51" i="2"/>
  <c r="AI47" i="2"/>
  <c r="AJ47" i="2" s="1"/>
  <c r="D22" i="13"/>
  <c r="F22" i="13" s="1"/>
  <c r="F18" i="13"/>
  <c r="G18" i="13" s="1"/>
  <c r="AE41" i="2"/>
  <c r="AG41" i="2" s="1"/>
  <c r="AE42" i="2"/>
  <c r="AG42" i="2" s="1"/>
  <c r="AE40" i="2"/>
  <c r="AH40" i="2" s="1"/>
  <c r="AE44" i="2"/>
  <c r="AF44" i="2" s="1"/>
  <c r="AH39" i="2"/>
  <c r="AI39" i="2" s="1"/>
  <c r="AJ39" i="2" s="1"/>
  <c r="AE43" i="2"/>
  <c r="AG43" i="2" s="1"/>
  <c r="F19" i="13"/>
  <c r="F21" i="13"/>
  <c r="G21" i="13" s="1"/>
  <c r="F20" i="13"/>
  <c r="AG83" i="2"/>
  <c r="L110" i="2" s="1"/>
  <c r="D55" i="3" s="1"/>
  <c r="AE52" i="2"/>
  <c r="D87" i="2" s="1"/>
  <c r="D41" i="3" s="1"/>
  <c r="AH48" i="2"/>
  <c r="AH49" i="2"/>
  <c r="AG49" i="2"/>
  <c r="AF49" i="2"/>
  <c r="AH83" i="2"/>
  <c r="D110" i="2" s="1"/>
  <c r="B55" i="3" s="1"/>
  <c r="AE60" i="2"/>
  <c r="D91" i="2" s="1"/>
  <c r="F29" i="7" s="1"/>
  <c r="AG48" i="2"/>
  <c r="F10" i="10"/>
  <c r="G10" i="10" s="1"/>
  <c r="F13" i="10"/>
  <c r="F11" i="10"/>
  <c r="C12" i="10"/>
  <c r="AF58" i="2"/>
  <c r="AG58" i="2"/>
  <c r="AH58" i="2"/>
  <c r="AG56" i="2"/>
  <c r="AH56" i="2"/>
  <c r="AF56" i="2"/>
  <c r="AI50" i="2"/>
  <c r="AJ50" i="2" s="1"/>
  <c r="AE101" i="2"/>
  <c r="AG99" i="2"/>
  <c r="AE100" i="2"/>
  <c r="AE103" i="2"/>
  <c r="AE102" i="2"/>
  <c r="AE105" i="2"/>
  <c r="AH99" i="2"/>
  <c r="K11" i="10"/>
  <c r="J12" i="10"/>
  <c r="L11" i="10" s="1"/>
  <c r="AF83" i="2"/>
  <c r="L109" i="2" s="1"/>
  <c r="E54" i="3" s="1"/>
  <c r="E49" i="3"/>
  <c r="L98" i="2"/>
  <c r="X32" i="10"/>
  <c r="Y32" i="10" s="1"/>
  <c r="Y31" i="10"/>
  <c r="B53" i="10"/>
  <c r="F41" i="10" s="1"/>
  <c r="H35" i="9" s="1"/>
  <c r="AI77" i="2"/>
  <c r="AJ77" i="2" s="1"/>
  <c r="AI75" i="2"/>
  <c r="AJ75" i="2" s="1"/>
  <c r="AB33" i="2"/>
  <c r="AC32" i="2"/>
  <c r="AD29" i="2" s="1"/>
  <c r="U11" i="10"/>
  <c r="T12" i="10"/>
  <c r="V11" i="10" s="1"/>
  <c r="U31" i="10"/>
  <c r="T32" i="10"/>
  <c r="V31" i="10" s="1"/>
  <c r="AI55" i="2" l="1"/>
  <c r="AJ55" i="2" s="1"/>
  <c r="AF52" i="2"/>
  <c r="L87" i="2" s="1"/>
  <c r="E41" i="3" s="1"/>
  <c r="U12" i="10"/>
  <c r="AJ59" i="2"/>
  <c r="AH43" i="2"/>
  <c r="AI43" i="2" s="1"/>
  <c r="AJ51" i="2"/>
  <c r="AG52" i="2"/>
  <c r="L88" i="2" s="1"/>
  <c r="D42" i="3" s="1"/>
  <c r="AI57" i="2"/>
  <c r="AJ57" i="2" s="1"/>
  <c r="G19" i="13"/>
  <c r="G20" i="13" s="1"/>
  <c r="AF41" i="2"/>
  <c r="AH42" i="2"/>
  <c r="AI42" i="2" s="1"/>
  <c r="AH41" i="2"/>
  <c r="AI41" i="2" s="1"/>
  <c r="AF43" i="2"/>
  <c r="AE45" i="2"/>
  <c r="D74" i="2" s="1"/>
  <c r="D34" i="3" s="1"/>
  <c r="AG40" i="2"/>
  <c r="AF40" i="2"/>
  <c r="AG44" i="2"/>
  <c r="AF42" i="2"/>
  <c r="AH44" i="2"/>
  <c r="AH52" i="2"/>
  <c r="D88" i="2" s="1"/>
  <c r="B42" i="3" s="1"/>
  <c r="F12" i="10"/>
  <c r="G11" i="10"/>
  <c r="U32" i="10"/>
  <c r="AI48" i="2"/>
  <c r="AJ48" i="2" s="1"/>
  <c r="AI49" i="2"/>
  <c r="AJ49" i="2" s="1"/>
  <c r="K12" i="10"/>
  <c r="AH60" i="2"/>
  <c r="D92" i="2" s="1"/>
  <c r="B30" i="7" s="1"/>
  <c r="AF60" i="2"/>
  <c r="L91" i="2" s="1"/>
  <c r="L29" i="7" s="1"/>
  <c r="AI99" i="2"/>
  <c r="AJ99" i="2" s="1"/>
  <c r="AI58" i="2"/>
  <c r="AJ58" i="2" s="1"/>
  <c r="AG60" i="2"/>
  <c r="L92" i="2" s="1"/>
  <c r="F30" i="7" s="1"/>
  <c r="AI56" i="2"/>
  <c r="AJ56" i="2" s="1"/>
  <c r="AH102" i="2"/>
  <c r="AG102" i="2"/>
  <c r="AF102" i="2"/>
  <c r="AG103" i="2"/>
  <c r="AH103" i="2"/>
  <c r="AF103" i="2"/>
  <c r="AH100" i="2"/>
  <c r="AE106" i="2"/>
  <c r="C29" i="9" s="1"/>
  <c r="AG100" i="2"/>
  <c r="AF100" i="2"/>
  <c r="AH105" i="2"/>
  <c r="AG105" i="2"/>
  <c r="AF105" i="2"/>
  <c r="AH101" i="2"/>
  <c r="AF101" i="2"/>
  <c r="AG101" i="2"/>
  <c r="AC33" i="2"/>
  <c r="AB34" i="2"/>
  <c r="AI83" i="2"/>
  <c r="R110" i="2" s="1"/>
  <c r="E55" i="3" s="1"/>
  <c r="Z31" i="10"/>
  <c r="AJ83" i="2"/>
  <c r="R111" i="2" s="1"/>
  <c r="E56" i="3" s="1"/>
  <c r="P35" i="10" l="1"/>
  <c r="T23" i="10" s="1"/>
  <c r="BA136" i="2" s="1"/>
  <c r="F136" i="2" s="1"/>
  <c r="C25" i="4" s="1"/>
  <c r="AJ41" i="2"/>
  <c r="G23" i="13"/>
  <c r="G15" i="13" s="1"/>
  <c r="G24" i="13" s="1"/>
  <c r="AH45" i="2"/>
  <c r="D75" i="2" s="1"/>
  <c r="B35" i="3" s="1"/>
  <c r="AJ52" i="2"/>
  <c r="L86" i="2" s="1"/>
  <c r="B131" i="2" s="1"/>
  <c r="AI52" i="2"/>
  <c r="R88" i="2" s="1"/>
  <c r="E42" i="3" s="1"/>
  <c r="AJ43" i="2"/>
  <c r="AI44" i="2"/>
  <c r="AJ44" i="2" s="1"/>
  <c r="AF45" i="2"/>
  <c r="L74" i="2" s="1"/>
  <c r="E34" i="3" s="1"/>
  <c r="AG45" i="2"/>
  <c r="L75" i="2" s="1"/>
  <c r="D35" i="3" s="1"/>
  <c r="AI40" i="2"/>
  <c r="AJ40" i="2" s="1"/>
  <c r="AJ42" i="2"/>
  <c r="H11" i="10"/>
  <c r="G12" i="10"/>
  <c r="AI102" i="2"/>
  <c r="AJ102" i="2" s="1"/>
  <c r="AI60" i="2"/>
  <c r="R92" i="2" s="1"/>
  <c r="L30" i="7" s="1"/>
  <c r="L32" i="7" s="1"/>
  <c r="L35" i="7" s="1"/>
  <c r="K40" i="7" s="1"/>
  <c r="AI101" i="2"/>
  <c r="AJ101" i="2" s="1"/>
  <c r="AJ60" i="2"/>
  <c r="L90" i="2" s="1"/>
  <c r="G153" i="2" s="1"/>
  <c r="AH106" i="2"/>
  <c r="D30" i="9" s="1"/>
  <c r="AI105" i="2"/>
  <c r="AJ105" i="2" s="1"/>
  <c r="AI100" i="2"/>
  <c r="AG106" i="2"/>
  <c r="H30" i="9" s="1"/>
  <c r="AI103" i="2"/>
  <c r="AJ103" i="2" s="1"/>
  <c r="AF106" i="2"/>
  <c r="J29" i="9" s="1"/>
  <c r="AC34" i="2"/>
  <c r="AB35" i="2"/>
  <c r="C31" i="5" l="1"/>
  <c r="D18" i="11"/>
  <c r="A11" i="6" s="1"/>
  <c r="C31" i="8"/>
  <c r="H115" i="2"/>
  <c r="AE62" i="2" s="1"/>
  <c r="AE63" i="2" s="1"/>
  <c r="G86" i="2"/>
  <c r="D43" i="3" s="1"/>
  <c r="E43" i="3"/>
  <c r="AI45" i="2"/>
  <c r="R75" i="2" s="1"/>
  <c r="E35" i="3" s="1"/>
  <c r="AJ45" i="2"/>
  <c r="L73" i="2" s="1"/>
  <c r="B15" i="10"/>
  <c r="F3" i="10" s="1"/>
  <c r="BA130" i="2" s="1"/>
  <c r="F130" i="2" s="1"/>
  <c r="A21" i="5" s="1"/>
  <c r="R162" i="2"/>
  <c r="R166" i="2" s="1"/>
  <c r="P166" i="2" s="1"/>
  <c r="AJ100" i="2"/>
  <c r="AJ106" i="2" s="1"/>
  <c r="AI106" i="2"/>
  <c r="J30" i="9" s="1"/>
  <c r="J31" i="9" s="1"/>
  <c r="E32" i="9" s="1"/>
  <c r="AC35" i="2"/>
  <c r="AB36" i="2"/>
  <c r="AC36" i="2" s="1"/>
  <c r="E60" i="3" l="1"/>
  <c r="D115" i="2"/>
  <c r="AD62" i="2"/>
  <c r="AB65" i="2"/>
  <c r="B16" i="11"/>
  <c r="A8" i="6" s="1"/>
  <c r="C21" i="4"/>
  <c r="A21" i="8"/>
  <c r="AB66" i="2"/>
  <c r="D60" i="3"/>
  <c r="P162" i="2"/>
  <c r="E36" i="3"/>
  <c r="H118" i="2"/>
  <c r="D59" i="3"/>
  <c r="C64" i="3"/>
  <c r="H120" i="2"/>
  <c r="E64" i="3" s="1"/>
  <c r="D62" i="3"/>
  <c r="H114" i="2"/>
  <c r="T134" i="2" s="1"/>
  <c r="O135" i="2" s="1"/>
  <c r="AD33" i="2"/>
  <c r="AE64" i="2"/>
  <c r="AD64" i="2" s="1"/>
  <c r="AD63" i="2"/>
  <c r="AH62" i="2" l="1"/>
  <c r="AB67" i="2"/>
  <c r="B135" i="2" s="1"/>
  <c r="L123" i="2"/>
  <c r="E62" i="3"/>
  <c r="E59" i="3"/>
  <c r="L125" i="2"/>
  <c r="L117" i="2"/>
  <c r="B128" i="2" l="1"/>
  <c r="P125" i="2"/>
  <c r="D68" i="3" s="1"/>
  <c r="E68" i="3"/>
</calcChain>
</file>

<file path=xl/sharedStrings.xml><?xml version="1.0" encoding="utf-8"?>
<sst xmlns="http://schemas.openxmlformats.org/spreadsheetml/2006/main" count="1281" uniqueCount="769">
  <si>
    <t>REPRESENTACIÓN TÉCNICA</t>
  </si>
  <si>
    <t>DESCOMPOSICIÓN DEL HONORARIO</t>
  </si>
  <si>
    <t>DOMICILIO CALLE y Nº</t>
  </si>
  <si>
    <t>DNI Nº</t>
  </si>
  <si>
    <r>
      <t xml:space="preserve">PROFESIONAL: </t>
    </r>
    <r>
      <rPr>
        <b/>
        <sz val="10"/>
        <rFont val="Arial"/>
        <family val="2"/>
      </rPr>
      <t xml:space="preserve"> </t>
    </r>
  </si>
  <si>
    <t xml:space="preserve">acuerdo con los hechos existentes realizados a la fecha y </t>
  </si>
  <si>
    <t xml:space="preserve">será responsable de la </t>
  </si>
  <si>
    <t>terminación de los trabajos faltantes.</t>
  </si>
  <si>
    <t>Vig. desde</t>
  </si>
  <si>
    <t>DATOS DEL PROFESIONAL</t>
  </si>
  <si>
    <t>NOMBRE Y APELLIDO</t>
  </si>
  <si>
    <t>1. VIVIENDA</t>
  </si>
  <si>
    <t>1.1 De interés social</t>
  </si>
  <si>
    <t>DOMICILIO CALLE</t>
  </si>
  <si>
    <t>1.1.1 Prefabricadas económicas de madera</t>
  </si>
  <si>
    <t>NUMERO</t>
  </si>
  <si>
    <t>LOCALIDAD</t>
  </si>
  <si>
    <t>PARTIDO</t>
  </si>
  <si>
    <t>TITULO</t>
  </si>
  <si>
    <t>DATOS DEL COMITENTE</t>
  </si>
  <si>
    <t>1.5 Industrializadas</t>
  </si>
  <si>
    <t>1.6.1 Construidas en Hº Aº, revestidas, con equipo de bombeo</t>
  </si>
  <si>
    <t xml:space="preserve"> </t>
  </si>
  <si>
    <t>CIUDAD</t>
  </si>
  <si>
    <t>DÍA (en letras)</t>
  </si>
  <si>
    <t>hasta</t>
  </si>
  <si>
    <t>parcial</t>
  </si>
  <si>
    <t>excedente</t>
  </si>
  <si>
    <t>%</t>
  </si>
  <si>
    <t>total</t>
  </si>
  <si>
    <t>AÑO (en letras)</t>
  </si>
  <si>
    <t>3. COMERCIO</t>
  </si>
  <si>
    <t>DATOS DE LA OBRA</t>
  </si>
  <si>
    <t>DESTINO</t>
  </si>
  <si>
    <t>CALLE</t>
  </si>
  <si>
    <t>Nº</t>
  </si>
  <si>
    <t>4. CULTURA, ESPECTÁCULOS Y ESPARCIMIENTO</t>
  </si>
  <si>
    <t>4.1 Bibliotecas públicas</t>
  </si>
  <si>
    <t>MANZANA</t>
  </si>
  <si>
    <t>4.3 Cafés concert o auditorios</t>
  </si>
  <si>
    <t>PARCELA</t>
  </si>
  <si>
    <t>4.4 Cines</t>
  </si>
  <si>
    <t>U.F.</t>
  </si>
  <si>
    <t>4.5 Teatros</t>
  </si>
  <si>
    <t>TAREA ENCOMENDADA</t>
  </si>
  <si>
    <t>4.6 Casinos, salas de juegos</t>
  </si>
  <si>
    <t>4.7 Autocines</t>
  </si>
  <si>
    <t>DATOS COMPLEMENTARIOS</t>
  </si>
  <si>
    <t>4.8 Anfiteatros</t>
  </si>
  <si>
    <t>VIGENCIA ( meses en letras)</t>
  </si>
  <si>
    <t>5. EDUCACIÓN</t>
  </si>
  <si>
    <t>VIGENCIA (meses en números)</t>
  </si>
  <si>
    <t>5.1 EGB, JI, EM, EMA y T, hasta 200 m2</t>
  </si>
  <si>
    <t>JURISDICCIÓN TRIBUNALES</t>
  </si>
  <si>
    <t>5.3 Escuelas, institutos, facultades (cualquier nivel)</t>
  </si>
  <si>
    <t>FORMA DE CALCULO</t>
  </si>
  <si>
    <t>6. SALUD</t>
  </si>
  <si>
    <t>Ho</t>
  </si>
  <si>
    <t>m2</t>
  </si>
  <si>
    <t>6.1 Dispensarios, salas de primeros auxilios</t>
  </si>
  <si>
    <t>6.2 Consultorios, laboratorios de análisis clínicos</t>
  </si>
  <si>
    <t>6.3 Clínicas sanatorios, e institutos geriátricos</t>
  </si>
  <si>
    <t>6.4 Hospitales y/o alta complejidad</t>
  </si>
  <si>
    <t>VALOR DE OBRA</t>
  </si>
  <si>
    <t>Factor de corrección a la fecha</t>
  </si>
  <si>
    <t>7. BANCOS Y FINANZAS</t>
  </si>
  <si>
    <t xml:space="preserve">   $/m2 =</t>
  </si>
  <si>
    <t>7.1 Bancos, financieras, créditos y seguros</t>
  </si>
  <si>
    <t>8. HOTELERIA</t>
  </si>
  <si>
    <t>8.1 Hosterías, hospedajes y pensiones</t>
  </si>
  <si>
    <t>8.2 Hoteles 2 y 3 estrellas</t>
  </si>
  <si>
    <t>TOTAL</t>
  </si>
  <si>
    <t>8.3 Albergues transitorios</t>
  </si>
  <si>
    <t>8.4 Hoteles 4 y 5 estrellas</t>
  </si>
  <si>
    <t>acumulado</t>
  </si>
  <si>
    <t>el</t>
  </si>
  <si>
    <t>s/ siguientes</t>
  </si>
  <si>
    <t>=</t>
  </si>
  <si>
    <t>9.2 Restaurantes, bares, confiterías, pizzerías</t>
  </si>
  <si>
    <t>9.3 Restaurantes de categoría</t>
  </si>
  <si>
    <t>10. CULTO, ARQUITECTURA FUNERARIA</t>
  </si>
  <si>
    <t>10.1 Capillas o equivalentes en otros cultos</t>
  </si>
  <si>
    <t>10.2 Iglesias o equivalentes en otros cultos</t>
  </si>
  <si>
    <t>10.4 Velatorios</t>
  </si>
  <si>
    <t>10.5 Cementerios</t>
  </si>
  <si>
    <t>10.5.1 Parquizaciones espacios exteriores</t>
  </si>
  <si>
    <t>10.5.2 Nichos (por unidad)</t>
  </si>
  <si>
    <t>Demolic.</t>
  </si>
  <si>
    <t>11. ESPACIOS URBANOS DESCUBIERTOS</t>
  </si>
  <si>
    <r>
      <t xml:space="preserve">11.2 Mantenimiento de plazas y parques                                              </t>
    </r>
    <r>
      <rPr>
        <b/>
        <sz val="8"/>
        <rFont val="Arial"/>
        <family val="2"/>
      </rPr>
      <t xml:space="preserve"> s/cómp. y pres.</t>
    </r>
  </si>
  <si>
    <t>11.3 Red vial</t>
  </si>
  <si>
    <t>11.3.1 Mejorada</t>
  </si>
  <si>
    <t>11.3.2 Pavimento urbano (rígido)</t>
  </si>
  <si>
    <t>11.3.3 Pavimento urbano (flexible)</t>
  </si>
  <si>
    <r>
      <t xml:space="preserve">11.5 Pavimento de caminos                                                                    </t>
    </r>
    <r>
      <rPr>
        <b/>
        <sz val="8"/>
        <rFont val="Arial"/>
        <family val="2"/>
      </rPr>
      <t>s/cómp. y pres.</t>
    </r>
  </si>
  <si>
    <t>porcentaje</t>
  </si>
  <si>
    <r>
      <t xml:space="preserve">11.7 Infraestructura (redes de servicios)                                              </t>
    </r>
    <r>
      <rPr>
        <b/>
        <sz val="8"/>
        <rFont val="Arial"/>
        <family val="2"/>
      </rPr>
      <t>s/cómp. y pres.</t>
    </r>
  </si>
  <si>
    <t>depreciación</t>
  </si>
  <si>
    <r>
      <t xml:space="preserve">11.8 Monumentos, decoración urbana                                                  </t>
    </r>
    <r>
      <rPr>
        <b/>
        <sz val="8"/>
        <rFont val="Arial"/>
        <family val="2"/>
      </rPr>
      <t>s/cómp. y pres.</t>
    </r>
  </si>
  <si>
    <t>12. ADMINISTRACIÓN</t>
  </si>
  <si>
    <t>12.1 Edificios privados</t>
  </si>
  <si>
    <t>13. DEPORTES Y RECREACIÓN</t>
  </si>
  <si>
    <t>$</t>
  </si>
  <si>
    <t>13.1 Club Social</t>
  </si>
  <si>
    <t>13.2 Club Deportivo</t>
  </si>
  <si>
    <t>13.2.1 Sin tribuna con estructura de luces menores de 15 m.</t>
  </si>
  <si>
    <t xml:space="preserve">Gentileza    Agrim - M.M. de Obras Julio A. ESTOUP - </t>
  </si>
  <si>
    <t>juan_estoup@hotmail.com</t>
  </si>
  <si>
    <t>13.2.2 Sin tribuna con estructura de luces mayores de 15 m.</t>
  </si>
  <si>
    <t>13.2.3 Con tribuna con estructura de luces menores de 15 m.</t>
  </si>
  <si>
    <t>13.3.2 Cubiertos (adicionar a superficies cubiertas deportivas)</t>
  </si>
  <si>
    <t>13.4 Gimnasios</t>
  </si>
  <si>
    <t>13.5 Canchas</t>
  </si>
  <si>
    <t>13.5.1 Descubiertas sobre césped o similar</t>
  </si>
  <si>
    <t>13.5.2 Descubiertas con tratamiento de pisos</t>
  </si>
  <si>
    <t>14. COCHERAS</t>
  </si>
  <si>
    <t>14.1 Planta única con cubierta liviana</t>
  </si>
  <si>
    <t>14.2 Planta única con cubierta Hº Aº o estructuras especiales</t>
  </si>
  <si>
    <t>14 3 Más de una planta sin elevadores mecánicos</t>
  </si>
  <si>
    <t>14.4  Más de una planta con elevadores mecánicos</t>
  </si>
  <si>
    <t>HONORARIOS</t>
  </si>
  <si>
    <t>15. PLAYAS DE ESTACIONAMIENTO, MANIOBRAS Y EST. DE SERV.</t>
  </si>
  <si>
    <t>15.1 Playas de estacionamiento y/o maniobras</t>
  </si>
  <si>
    <t>15.2 Estaciones de servicio</t>
  </si>
  <si>
    <t>PAGOS</t>
  </si>
  <si>
    <t>16. TRANSPORTE</t>
  </si>
  <si>
    <t>16.1 Estaciones de ómnibus, ferroviarias</t>
  </si>
  <si>
    <t>Monto liquidado al contado</t>
  </si>
  <si>
    <t>16.2 Aeropuertos</t>
  </si>
  <si>
    <t>17. ESTRUCTURAS COMUNES PARA EDIFICIOS</t>
  </si>
  <si>
    <t>17.1 Sin incidencia del viento</t>
  </si>
  <si>
    <t>En concepto de</t>
  </si>
  <si>
    <t>17.2 Con incidencia del viento</t>
  </si>
  <si>
    <t>Saldo</t>
  </si>
  <si>
    <t>18. INSTALACIONES PARA EDIFICIOS</t>
  </si>
  <si>
    <t>BOLETAS DE APORTE PREVISIONAL</t>
  </si>
  <si>
    <t>FECHA DE PAGO</t>
  </si>
  <si>
    <t>NUMERO DE BOLETA</t>
  </si>
  <si>
    <t>MONTO DEPOSITO</t>
  </si>
  <si>
    <t>CUOTA DE EJERCICIO PROFESIONAL</t>
  </si>
  <si>
    <t>SUCURSAL BANCO</t>
  </si>
  <si>
    <t>En la ciudad de</t>
  </si>
  <si>
    <t xml:space="preserve"> el día</t>
  </si>
  <si>
    <t>del mes de</t>
  </si>
  <si>
    <t>del año</t>
  </si>
  <si>
    <t>,de la localidad de</t>
  </si>
  <si>
    <t>lo hará conforme al avance de la misma.</t>
  </si>
  <si>
    <t>con domicilio real en la calle</t>
  </si>
  <si>
    <t xml:space="preserve">, Partido de </t>
  </si>
  <si>
    <t>designado en adelante el COMITENTE, y</t>
  </si>
  <si>
    <t>con título profesional de</t>
  </si>
  <si>
    <t>designado</t>
  </si>
  <si>
    <t>en adelante como el PROFESIONAL, se  conviene en celebrar el presente contrato.</t>
  </si>
  <si>
    <t>de la obra sita en la calle</t>
  </si>
  <si>
    <t>de la localidad de</t>
  </si>
  <si>
    <t>Partido de</t>
  </si>
  <si>
    <t>Circ.</t>
  </si>
  <si>
    <t>Secc</t>
  </si>
  <si>
    <t>Manz</t>
  </si>
  <si>
    <t>Parc</t>
  </si>
  <si>
    <t>Firma del Comitente</t>
  </si>
  <si>
    <t>Firma del Profesional</t>
  </si>
  <si>
    <t>,entre el señor</t>
  </si>
  <si>
    <t>acto, en concepto de</t>
  </si>
  <si>
    <t>presente contrato :</t>
  </si>
  <si>
    <t>meses</t>
  </si>
  <si>
    <t>vo costo y cargo del Comitente, como así también el pago de los</t>
  </si>
  <si>
    <t>Derechos de Construcción o sellados ante el Municipio respecti-</t>
  </si>
  <si>
    <t>vo, por las obras que se ejecutarán.</t>
  </si>
  <si>
    <t>arriba indicados y se someten a la jurisdicción de los Tribunales</t>
  </si>
  <si>
    <t>Ordinarios de</t>
  </si>
  <si>
    <t>con renun-</t>
  </si>
  <si>
    <t>presente contrato las partes constituyen domicilio legal en los</t>
  </si>
  <si>
    <t>en este</t>
  </si>
  <si>
    <t>y el saldo en concepto de</t>
  </si>
  <si>
    <r>
      <t xml:space="preserve">Artículo 1º: </t>
    </r>
    <r>
      <rPr>
        <sz val="10"/>
        <rFont val="Times New Roman"/>
        <family val="1"/>
      </rPr>
      <t>El comitente encomienda al profesional</t>
    </r>
  </si>
  <si>
    <r>
      <t xml:space="preserve">Artículo 3º: </t>
    </r>
    <r>
      <rPr>
        <sz val="10"/>
        <rFont val="Times New Roman"/>
        <family val="1"/>
      </rPr>
      <t>El Comitente abonará al profesional los honorarios pactados en la siguiente forma:</t>
    </r>
  </si>
  <si>
    <r>
      <t>Artículo 4º:</t>
    </r>
    <r>
      <rPr>
        <sz val="10"/>
        <rFont val="Times New Roman"/>
        <family val="1"/>
      </rPr>
      <t xml:space="preserve"> Se establece como plazo de vigencia del</t>
    </r>
  </si>
  <si>
    <r>
      <t>Artículo 7º:</t>
    </r>
    <r>
      <rPr>
        <sz val="10"/>
        <rFont val="Times New Roman"/>
        <family val="1"/>
      </rPr>
      <t xml:space="preserve"> Los gastos extraordinarios serán a exclusi-</t>
    </r>
  </si>
  <si>
    <r>
      <t xml:space="preserve">Artículo 8º: </t>
    </r>
    <r>
      <rPr>
        <sz val="10"/>
        <rFont val="Times New Roman"/>
        <family val="1"/>
      </rPr>
      <t>Para todos los efectos legales emergentes del</t>
    </r>
  </si>
  <si>
    <t>DNI</t>
  </si>
  <si>
    <t>PISO/DEP.</t>
  </si>
  <si>
    <t>CUIT</t>
  </si>
  <si>
    <t>FC</t>
  </si>
  <si>
    <t>Visado Definitivo</t>
  </si>
  <si>
    <t>Visado Provisorio</t>
  </si>
  <si>
    <t>Pesos</t>
  </si>
  <si>
    <t>c) El cumplimiento de las normas sobre Seguridad e Higiene en el Trabajo y Medicina Laboral.</t>
  </si>
  <si>
    <t>d) La compra de la totalidad de materiales que demande la construcción de la obra.</t>
  </si>
  <si>
    <t>.</t>
  </si>
  <si>
    <t>conforme a las normas legales en la materia</t>
  </si>
  <si>
    <t>de</t>
  </si>
  <si>
    <t>rior, el comitente abonará al profesional los honorarios de co-</t>
  </si>
  <si>
    <t>mún acuerdo convenidos, que ascienden a la suma de pesos:</t>
  </si>
  <si>
    <t>vigentes en la jurisdicción de la Provincia de Buenos Aires y</t>
  </si>
  <si>
    <t>el Código Civil.</t>
  </si>
  <si>
    <t>como comitente, toma a su exclusivo cargo la ejecución de la</t>
  </si>
  <si>
    <r>
      <t xml:space="preserve">Artículo 8º: </t>
    </r>
    <r>
      <rPr>
        <sz val="10"/>
        <rFont val="Times New Roman"/>
        <family val="1"/>
      </rPr>
      <t>En virtud de lo establecido en el artículo 3º</t>
    </r>
  </si>
  <si>
    <t>norarios pactados en la siguiente forma:</t>
  </si>
  <si>
    <t>del presente, el COMITENTE asume expresamente bajo su</t>
  </si>
  <si>
    <t>responsabilidad, los incisos que a continuación se expresan:</t>
  </si>
  <si>
    <t>a) La contratación de todo el personal, el pago de sus remu-</t>
  </si>
  <si>
    <t xml:space="preserve">    neraciones, aportes legales (obra social, previsional, sindi-</t>
  </si>
  <si>
    <t xml:space="preserve">    cal, etc.) indemnizaciones y cualquier otro crédito laboral,</t>
  </si>
  <si>
    <t xml:space="preserve">    como así también, toda responsabilidad laboral, civil y/o</t>
  </si>
  <si>
    <t>Dirección</t>
  </si>
  <si>
    <r>
      <t xml:space="preserve">Artículo 2º: </t>
    </r>
    <r>
      <rPr>
        <sz val="10"/>
        <rFont val="Times New Roman"/>
        <family val="1"/>
      </rPr>
      <t>Por las tareas detalladas en el artículo ante-</t>
    </r>
  </si>
  <si>
    <t>DNI  Nº</t>
  </si>
  <si>
    <t>Computo y Presupuesto</t>
  </si>
  <si>
    <t>(FC)</t>
  </si>
  <si>
    <t>TOTAL (b2)</t>
  </si>
  <si>
    <t>MATRICULA PROFESIONAL Nº</t>
  </si>
  <si>
    <t>DEL MES DE</t>
  </si>
  <si>
    <t>DEL AÑO</t>
  </si>
  <si>
    <t>en _________</t>
  </si>
  <si>
    <t xml:space="preserve">  Hasta  ____________________________</t>
  </si>
  <si>
    <t xml:space="preserve"> el</t>
  </si>
  <si>
    <t>TOTAL (c2)</t>
  </si>
  <si>
    <t>fecha</t>
  </si>
  <si>
    <t>nº de boleta</t>
  </si>
  <si>
    <t>monto depósito</t>
  </si>
  <si>
    <t>Sucursal banco</t>
  </si>
  <si>
    <t>PARA LA OBRA:</t>
  </si>
  <si>
    <t>CIRC.</t>
  </si>
  <si>
    <t>SECC.</t>
  </si>
  <si>
    <t>MANZ.</t>
  </si>
  <si>
    <t>PARC.</t>
  </si>
  <si>
    <t>MAT C.T.P.B.A.</t>
  </si>
  <si>
    <t>Determinación del Honorario por</t>
  </si>
  <si>
    <t xml:space="preserve"> 1) Proyecto y Dirección de Obra</t>
  </si>
  <si>
    <t xml:space="preserve">  TOTAL</t>
  </si>
  <si>
    <t xml:space="preserve">  Hasta</t>
  </si>
  <si>
    <t>2) Medición de Obra</t>
  </si>
  <si>
    <t>Otras labores (detallar)</t>
  </si>
  <si>
    <t>Descomposición del Honorario</t>
  </si>
  <si>
    <t>Proyecto</t>
  </si>
  <si>
    <t>Firma y sello asesor técnico</t>
  </si>
  <si>
    <t xml:space="preserve"> Honorario convenido</t>
  </si>
  <si>
    <t>Cuota de Ejercicio Profesional para el Colegio de Técnicos de la Provincia de Buenos Aires</t>
  </si>
  <si>
    <r>
      <t>PLANILLA ANEXA</t>
    </r>
    <r>
      <rPr>
        <sz val="8"/>
        <rFont val="Arial"/>
        <family val="2"/>
      </rPr>
      <t xml:space="preserve"> CORRESPONDIENTE AL CONTRATO CELEBRADO EL DIA</t>
    </r>
  </si>
  <si>
    <t>Con Antecedentes Municip.</t>
  </si>
  <si>
    <t>Sin Antecedentes Municip.</t>
  </si>
  <si>
    <t>Hasta</t>
  </si>
  <si>
    <t>a</t>
  </si>
  <si>
    <t xml:space="preserve">mas de </t>
  </si>
  <si>
    <t>Honorario</t>
  </si>
  <si>
    <t>Cuota</t>
  </si>
  <si>
    <t>SUC. BANCO</t>
  </si>
  <si>
    <t>BOLETA 1</t>
  </si>
  <si>
    <t>BOLETA 2</t>
  </si>
  <si>
    <t>FIRMA PROFESIONAL</t>
  </si>
  <si>
    <t>ANEXO DE LA RESOLUCION Nº 46 / 91</t>
  </si>
  <si>
    <t>ACTA DE ESTADO DE OBRA</t>
  </si>
  <si>
    <t>REFERENCIA:</t>
  </si>
  <si>
    <t>OBRA CALLE:</t>
  </si>
  <si>
    <t>PROPIETARIO:</t>
  </si>
  <si>
    <t>DOMICILIO:</t>
  </si>
  <si>
    <t>PROFESIONAL:</t>
  </si>
  <si>
    <t>ITEM</t>
  </si>
  <si>
    <t>% EJECUT.</t>
  </si>
  <si>
    <t>% REAL</t>
  </si>
  <si>
    <t>OBSERVAC.</t>
  </si>
  <si>
    <t>01) Preparación del terreno,repl.,excav.</t>
  </si>
  <si>
    <t>BUENO</t>
  </si>
  <si>
    <t>02) Mampostería cimientos y elevación</t>
  </si>
  <si>
    <t>03) Capas aisladoras</t>
  </si>
  <si>
    <t>04) Estructura de techos</t>
  </si>
  <si>
    <t>05) Cubierta de techos</t>
  </si>
  <si>
    <t>06) Revoques gruesos / impermeables</t>
  </si>
  <si>
    <t>07) Contrapisos</t>
  </si>
  <si>
    <t>08) Inst. sanitaria</t>
  </si>
  <si>
    <t xml:space="preserve">     a- Cloacas</t>
  </si>
  <si>
    <t xml:space="preserve">     b- Agua fría</t>
  </si>
  <si>
    <t xml:space="preserve">     c- Agua caliente</t>
  </si>
  <si>
    <t>09) Inst. de gas</t>
  </si>
  <si>
    <t>10) Inst. eléctrica</t>
  </si>
  <si>
    <t xml:space="preserve">     a- Cañerías</t>
  </si>
  <si>
    <t xml:space="preserve">     b- Llaves y conductos</t>
  </si>
  <si>
    <t>11) Cielorrasos</t>
  </si>
  <si>
    <t>12) Revoques finos y/o de frentes</t>
  </si>
  <si>
    <t>13) Pisos y zócalos</t>
  </si>
  <si>
    <t>14) Revestimientos</t>
  </si>
  <si>
    <t>15) Artefactos cocina y baño</t>
  </si>
  <si>
    <t>16) Carpintería</t>
  </si>
  <si>
    <t xml:space="preserve">     a- Marcos</t>
  </si>
  <si>
    <t xml:space="preserve">     b- Hojas y herrajes</t>
  </si>
  <si>
    <t>17) Herrería</t>
  </si>
  <si>
    <t>12.3 Complejos penitenciarios</t>
  </si>
  <si>
    <t>18) Pintura</t>
  </si>
  <si>
    <t>19) Vidrios</t>
  </si>
  <si>
    <t>29) Cercos y veredas</t>
  </si>
  <si>
    <t>21) Detalles de terminación</t>
  </si>
  <si>
    <t>POR CONSIGUIENTE, EL TRABAJO REALIZADO EN OBRA ASCIENDE A  :</t>
  </si>
  <si>
    <t>El Profesional declara bajo juramento que la presente acta de estado de obra ha sido cumplimentada de</t>
  </si>
  <si>
    <t>cionar la obra a los fines de verificar los estados de obra declarados.</t>
  </si>
  <si>
    <t>Se  firma en</t>
  </si>
  <si>
    <t>del   año</t>
  </si>
  <si>
    <t xml:space="preserve">CAJA DE PREVISION SOCIAL PARA AGRIMENSORES, ARQUITECTOS, INGENIEROS            </t>
  </si>
  <si>
    <t xml:space="preserve">Y TECNICOS DE LA PROVINCIA DE BUENOS AIRES       </t>
  </si>
  <si>
    <t>* CONSTRUCCIONES CIVILES *</t>
  </si>
  <si>
    <t xml:space="preserve">        PLANILLA ANEXA CORRESPONDIENTE AL CONTRATO CELEBRADO EL :</t>
  </si>
  <si>
    <t>Propietario ó Beneficiario:</t>
  </si>
  <si>
    <t>Profesional:</t>
  </si>
  <si>
    <t>para la obra sita en la calle:</t>
  </si>
  <si>
    <t>Localidad de:</t>
  </si>
  <si>
    <t>Estimación del valor de obra:</t>
  </si>
  <si>
    <t>Según art.º 8º del Título VIII (Decreto 6964/65):</t>
  </si>
  <si>
    <t>superficie</t>
  </si>
  <si>
    <t xml:space="preserve"> =   $ </t>
  </si>
  <si>
    <t xml:space="preserve">TOTAL (1): $ </t>
  </si>
  <si>
    <t>Proyecto y Dirección: Categoría 8º s/ tabla XVII (Decreto 6964/65)</t>
  </si>
  <si>
    <t xml:space="preserve">$ </t>
  </si>
  <si>
    <t xml:space="preserve">10 % de c1 $ </t>
  </si>
  <si>
    <t>Contribución a cargo del Propietario ó Beneficiario</t>
  </si>
  <si>
    <t>Nº de Boleta:</t>
  </si>
  <si>
    <t>fecha:</t>
  </si>
  <si>
    <t>FIRMA del COMITENTE</t>
  </si>
  <si>
    <t>CUIL</t>
  </si>
  <si>
    <t>Calle:</t>
  </si>
  <si>
    <t>Localidad:</t>
  </si>
  <si>
    <t>Partido:</t>
  </si>
  <si>
    <t>Circ.:</t>
  </si>
  <si>
    <t>Parc.:</t>
  </si>
  <si>
    <t>SUPLEMENTO 100- 80-75-60-45-40-30-20-15-0%</t>
  </si>
  <si>
    <t>Sistema de Ejecución de Obra por:</t>
  </si>
  <si>
    <t>SISTEMA de EJECUCIÓN de OBRA POR:</t>
  </si>
  <si>
    <r>
      <t xml:space="preserve">              </t>
    </r>
    <r>
      <rPr>
        <sz val="10"/>
        <color indexed="9"/>
        <rFont val="Arial"/>
        <family val="2"/>
      </rPr>
      <t xml:space="preserve"> Artículo 1º)   El COMITENTE encomienda al PROFESIONAL lo siguiente:</t>
    </r>
  </si>
  <si>
    <t xml:space="preserve">Dirección Ejecutiva  </t>
  </si>
  <si>
    <t xml:space="preserve">Aplicar Supl. </t>
  </si>
  <si>
    <t>PROPIETARIO</t>
  </si>
  <si>
    <t xml:space="preserve">sobre los siguientes  </t>
  </si>
  <si>
    <t>% ITEM</t>
  </si>
  <si>
    <t>COMITENTE:</t>
  </si>
  <si>
    <t>el día</t>
  </si>
  <si>
    <t>MAT. CTPBA</t>
  </si>
  <si>
    <t>deprec/por est.</t>
  </si>
  <si>
    <t>Cuatro o mas baños o toilette</t>
  </si>
  <si>
    <t>HONORARIO CONVENIDO</t>
  </si>
  <si>
    <t>Por cualquier tarea profesional</t>
  </si>
  <si>
    <t>HONORARIO TOTAL</t>
  </si>
  <si>
    <t>Monto depósito</t>
  </si>
  <si>
    <t>Porcentaje Liquidado</t>
  </si>
  <si>
    <r>
      <t>(H</t>
    </r>
    <r>
      <rPr>
        <sz val="5"/>
        <rFont val="Arial"/>
        <family val="2"/>
      </rPr>
      <t>0</t>
    </r>
    <r>
      <rPr>
        <sz val="8"/>
        <rFont val="Arial"/>
        <family val="2"/>
      </rPr>
      <t>)</t>
    </r>
  </si>
  <si>
    <t>Honorario base(H0)</t>
  </si>
  <si>
    <t xml:space="preserve">TOTAL (c1): $ </t>
  </si>
  <si>
    <t>3    ejemplares</t>
  </si>
  <si>
    <r>
      <t xml:space="preserve">Artículo 2º: </t>
    </r>
    <r>
      <rPr>
        <sz val="10"/>
        <rFont val="Times New Roman"/>
        <family val="1"/>
      </rPr>
      <t xml:space="preserve">Por las tareas detalladas en el artículo anterior, el comitente abonará al profesional los honorarios </t>
    </r>
  </si>
  <si>
    <t>Matrícula del Colegio de Técnicos de la Provincia de Buenos Aires Nº</t>
  </si>
  <si>
    <t xml:space="preserve">de común acuerdo convenidos, que ascienden a la suma de: </t>
  </si>
  <si>
    <t>conforme a las normas legales en la materia vigentes en la jurisdicción de la Pcia. de Bs. As. y el Código Civil.</t>
  </si>
  <si>
    <t>a partir de</t>
  </si>
  <si>
    <t>la firma del presente, vencido el cual deberán ratificarse las condi-</t>
  </si>
  <si>
    <t xml:space="preserve">ciones pactadas. En caso de silencio se considerará que el profesional </t>
  </si>
  <si>
    <t xml:space="preserve">queda automáticamente liberado de toda responsabilidad con relación </t>
  </si>
  <si>
    <t>a la obra cuyos datos figuran en el presente.</t>
  </si>
  <si>
    <r>
      <t>Artículo 5º:</t>
    </r>
    <r>
      <rPr>
        <sz val="10"/>
        <rFont val="Times New Roman"/>
        <family val="1"/>
      </rPr>
      <t xml:space="preserve"> Con cada percepción de honorarios , el profesional</t>
    </r>
  </si>
  <si>
    <r>
      <t>inciso b</t>
    </r>
    <r>
      <rPr>
        <sz val="10"/>
        <rFont val="Arial"/>
        <family val="2"/>
      </rPr>
      <t>.</t>
    </r>
  </si>
  <si>
    <r>
      <t>Artículo 6º:</t>
    </r>
    <r>
      <rPr>
        <sz val="10"/>
        <rFont val="Times New Roman"/>
        <family val="1"/>
      </rPr>
      <t xml:space="preserve"> La falta de pago de cualquiera de las sumas establecidas, producirá la Mora de Pleno Derecho, </t>
    </r>
  </si>
  <si>
    <t>pudiendo el Profesional optar por cobrar un interés punitorio sobre el atraso, o dar por terminados los plazos</t>
  </si>
  <si>
    <t>establecidos y cobrar el saldo total de lo que adeudare, o rescindir el presente contrato quedando las sumas</t>
  </si>
  <si>
    <t>abonadas en concepto de indemnización.</t>
  </si>
  <si>
    <t xml:space="preserve">2. INDUSTRIA Y ALMACENAJE </t>
  </si>
  <si>
    <t>2.1   Depositos e Industrias De baja complej. Estruc. De hasta 12 m de Luz, altura hasta 6 m</t>
  </si>
  <si>
    <t xml:space="preserve">        con dependencias de hasta un 10% de la sup. Total</t>
  </si>
  <si>
    <t>2.1.1 Depositos que superen parametros del item 2.1</t>
  </si>
  <si>
    <t>2.2    Industrias que superen parametros del item 2.1</t>
  </si>
  <si>
    <t>2.3   Alta complejidad, laboratorios industriales</t>
  </si>
  <si>
    <t>2.4   Invernáculos, locales para cría de animales</t>
  </si>
  <si>
    <t>2.5   Tinglados y cobertizos (sup. cubierta = sup. semicubierta)</t>
  </si>
  <si>
    <t xml:space="preserve">2.6 Almacenamientos, silos en m³ </t>
  </si>
  <si>
    <t>2.1.1 Hormigòn Armado</t>
  </si>
  <si>
    <t>2.1.2 Mamposteria</t>
  </si>
  <si>
    <t>2.1.3 Chapa</t>
  </si>
  <si>
    <t>3.1 Minorista  hasta 50 m²</t>
  </si>
  <si>
    <t>3.2 Minorista o mayorista mayor de 50 m² y hasta 300 m².</t>
  </si>
  <si>
    <t>3.3 Minorista o mayorista mayor de 300 m²</t>
  </si>
  <si>
    <t>3.4 Shopping</t>
  </si>
  <si>
    <t>5.2 EGB, JI, EM, EMA y T, mayores de 200 m2</t>
  </si>
  <si>
    <t>10.5.3 Bóvedas o panteones (por m²)</t>
  </si>
  <si>
    <t>11.1 Tratamiento y/o parquizaciones esp. exterioes (plazas y parques)</t>
  </si>
  <si>
    <t>15.2.1 Playas de expendio cubierta o semicubierta</t>
  </si>
  <si>
    <t xml:space="preserve">15.2.2 Playas de expendio descubierta </t>
  </si>
  <si>
    <r>
      <t xml:space="preserve">Mantenimiento de Edificios                                                                    </t>
    </r>
    <r>
      <rPr>
        <b/>
        <sz val="8"/>
        <rFont val="Arial"/>
        <family val="2"/>
      </rPr>
      <t xml:space="preserve">  s/comp. y pres</t>
    </r>
    <r>
      <rPr>
        <sz val="8"/>
        <rFont val="Arial"/>
        <family val="2"/>
      </rPr>
      <t>.</t>
    </r>
  </si>
  <si>
    <t>Fecha Actual</t>
  </si>
  <si>
    <t xml:space="preserve">Hoja de cálculo para confección de contrato, planilla anexa, estado de obra, ley 12490. - </t>
  </si>
  <si>
    <t>Distribución Gratuita</t>
  </si>
  <si>
    <t>MEDICIÓN - PROYECTO Y DIRECCIÓN - DIRECCIÓN EJECUTIVA -</t>
  </si>
  <si>
    <t>DEMOLICIÓN Y REP. TÉCNICA</t>
  </si>
  <si>
    <t>julio_estoup@hotmail.com</t>
  </si>
  <si>
    <r>
      <t xml:space="preserve">1.2 Unifamiliares </t>
    </r>
    <r>
      <rPr>
        <sz val="10"/>
        <rFont val="Arial"/>
        <family val="2"/>
      </rPr>
      <t>(Inclusive en viviendas aisladas afectadas a PH)</t>
    </r>
  </si>
  <si>
    <r>
      <t xml:space="preserve">1.2.1 De </t>
    </r>
    <r>
      <rPr>
        <b/>
        <sz val="8"/>
        <rFont val="Arial"/>
        <family val="2"/>
      </rPr>
      <t>Categoria A</t>
    </r>
    <r>
      <rPr>
        <sz val="8"/>
        <rFont val="Arial"/>
        <family val="2"/>
      </rPr>
      <t xml:space="preserve"> (No cumple con ningún items)</t>
    </r>
  </si>
  <si>
    <r>
      <t xml:space="preserve">1.2.2 De </t>
    </r>
    <r>
      <rPr>
        <b/>
        <sz val="8"/>
        <rFont val="Arial"/>
        <family val="2"/>
      </rPr>
      <t>Categoria B</t>
    </r>
    <r>
      <rPr>
        <sz val="8"/>
        <rFont val="Arial"/>
        <family val="2"/>
      </rPr>
      <t xml:space="preserve"> (Cumple por lo menos con 1 items)</t>
    </r>
  </si>
  <si>
    <r>
      <t xml:space="preserve">1.2.3 De </t>
    </r>
    <r>
      <rPr>
        <b/>
        <sz val="8"/>
        <rFont val="Arial"/>
        <family val="2"/>
      </rPr>
      <t>Categoria C</t>
    </r>
    <r>
      <rPr>
        <sz val="8"/>
        <rFont val="Arial"/>
        <family val="2"/>
      </rPr>
      <t xml:space="preserve"> (</t>
    </r>
    <r>
      <rPr>
        <sz val="7"/>
        <rFont val="Arial"/>
        <family val="2"/>
      </rPr>
      <t>Cumple por lo menos con 2 items ó en B° Cerrado</t>
    </r>
    <r>
      <rPr>
        <sz val="8"/>
        <rFont val="Arial"/>
        <family val="2"/>
      </rPr>
      <t>)</t>
    </r>
  </si>
  <si>
    <r>
      <t xml:space="preserve">1.2.4 De </t>
    </r>
    <r>
      <rPr>
        <b/>
        <sz val="8"/>
        <rFont val="Arial"/>
        <family val="2"/>
      </rPr>
      <t>Categoria D</t>
    </r>
    <r>
      <rPr>
        <sz val="8"/>
        <rFont val="Arial"/>
        <family val="2"/>
      </rPr>
      <t xml:space="preserve"> (Cumple por lo menos con 3 items)</t>
    </r>
  </si>
  <si>
    <r>
      <t xml:space="preserve">1.2.5 De </t>
    </r>
    <r>
      <rPr>
        <b/>
        <sz val="8"/>
        <rFont val="Arial"/>
        <family val="2"/>
      </rPr>
      <t>Categoría E</t>
    </r>
    <r>
      <rPr>
        <sz val="8"/>
        <rFont val="Arial"/>
        <family val="2"/>
      </rPr>
      <t xml:space="preserve"> (Cumple por lo menos con 4 items)</t>
    </r>
  </si>
  <si>
    <t>1.3.1 En construcciones hasta 4 niveles o plantas</t>
  </si>
  <si>
    <t>1.3 Multifamiliares</t>
  </si>
  <si>
    <t>1.3.2 En construcciones de mas de 4 niveles o plantas</t>
  </si>
  <si>
    <r>
      <rPr>
        <sz val="8"/>
        <rFont val="Arial"/>
        <family val="2"/>
      </rPr>
      <t>1.3.3 Las ant</t>
    </r>
    <r>
      <rPr>
        <sz val="7"/>
        <rFont val="Arial"/>
        <family val="2"/>
      </rPr>
      <t>. (Ubic. en Country, B° Cerrado, Club de Campo o en Urb. privadas</t>
    </r>
    <r>
      <rPr>
        <sz val="10"/>
        <rFont val="Arial"/>
        <family val="2"/>
      </rPr>
      <t xml:space="preserve">                        </t>
    </r>
  </si>
  <si>
    <t>VALOR DE OBRA SEGÚN CAAITBA y COLEGIO de TECNICOS POR m²</t>
  </si>
  <si>
    <t>Dos o mas cocheras cubiertas o semicubiertas</t>
  </si>
  <si>
    <t>Aire acondicionado central u otras instalaciones especiales</t>
  </si>
  <si>
    <t>Sauna u/o piscina con espejo de agua mayor a 30,00 m²</t>
  </si>
  <si>
    <t>Construcción de mas de 150,00 m² totales de superficie (Cubierta y Semicubierta)</t>
  </si>
  <si>
    <t>Ubicada en Country, B° Cerrado, Club de Campo u otras Urbanizaciones Privadas</t>
  </si>
  <si>
    <t>Mas de 3 niveles o plantas</t>
  </si>
  <si>
    <t>LA CATEGORIZACIÓN DE VIVIENDA UNIFAMILIAR SE REALIZA DESDE ESTA PESTAÑA</t>
  </si>
  <si>
    <r>
      <t>CATEGORIZACIÓN DE VIV. UNIFAMILIARES</t>
    </r>
    <r>
      <rPr>
        <sz val="10"/>
        <rFont val="Arial"/>
      </rPr>
      <t xml:space="preserve"> </t>
    </r>
    <r>
      <rPr>
        <sz val="8"/>
        <rFont val="Arial"/>
        <family val="2"/>
      </rPr>
      <t>(Marcar 1 en el recuadro correspond.)</t>
    </r>
  </si>
  <si>
    <r>
      <t>Artículo 9º:</t>
    </r>
    <r>
      <rPr>
        <sz val="10"/>
        <rFont val="Times New Roman"/>
        <family val="1"/>
      </rPr>
      <t xml:space="preserve"> De conformidad y para que conste, se firman cinco (5) ejemplares del mismo tenor y a un solo </t>
    </r>
  </si>
  <si>
    <t>efecto con carácter de:</t>
  </si>
  <si>
    <t>Pesos:</t>
  </si>
  <si>
    <t>efectuará los aportes previsionales a que obliga la Ley 12490 art. 26</t>
  </si>
  <si>
    <t>de la localidad de:</t>
  </si>
  <si>
    <t xml:space="preserve">y el saldo, en concepto de: </t>
  </si>
  <si>
    <t xml:space="preserve">en este acto, </t>
  </si>
  <si>
    <t>en concepto de</t>
  </si>
  <si>
    <t>Sin Anteced. Por Computo y Presupuesto.......</t>
  </si>
  <si>
    <t>¿ES MEDICIÓN DE VIVIENDA CATEGORIA A ÚNICAMENTE?</t>
  </si>
  <si>
    <t xml:space="preserve">pudiendo el Profesional optar por cobrar un interés punitorio </t>
  </si>
  <si>
    <t>sobre el atraso, o dar por terminados los plazos establecidos y cobrar</t>
  </si>
  <si>
    <t>el saldo total de lo que se le adeudare, o rescindir el presente</t>
  </si>
  <si>
    <t>contrato quedando los sumas abonadas en concepto de</t>
  </si>
  <si>
    <t>indemnización.</t>
  </si>
  <si>
    <t xml:space="preserve">     que rigen la actividad.</t>
  </si>
  <si>
    <t>pago de los Derechos de Construcción o sellados ante el Municipio respectivo, por las obras que se ejecutarán.</t>
  </si>
  <si>
    <t xml:space="preserve"> legal en los arriba indicados y se someten a la jurisdicción de los Tribunales Ordinarios de</t>
  </si>
  <si>
    <t>efecto con el carácter de:</t>
  </si>
  <si>
    <t xml:space="preserve">    penal que pudiera derivar de dicha relación, conforme lo </t>
  </si>
  <si>
    <t xml:space="preserve">    determinan las normativas vigentes;</t>
  </si>
  <si>
    <t>UF</t>
  </si>
  <si>
    <t>designado en adelante como el PROFESIONAL, se  conviene en celebrar el presente contrato.</t>
  </si>
  <si>
    <t>lo hará conforme al avance de los trabajos.</t>
  </si>
  <si>
    <t xml:space="preserve">meses, vencido el cual deberán ratificarse las condiciones pactadas. De no hacerse lo expresado, dentro de los </t>
  </si>
  <si>
    <t>$ / m²   =</t>
  </si>
  <si>
    <t xml:space="preserve">   $/m² =</t>
  </si>
  <si>
    <t xml:space="preserve">quince (15) días posteriores al vencimiento, el Profesional queda desvinculado de sus obligaciones </t>
  </si>
  <si>
    <t>profesionales sin necesidad de comunicación alguna al comitente.</t>
  </si>
  <si>
    <t xml:space="preserve">               Artículo 4º)  El COMITENTE abonará al PROFESIONAL los honorarios pactados en la siguiente forma: $</t>
  </si>
  <si>
    <t xml:space="preserve">               Artículo 5º)  Se establece el plazo de vigencia del presente contrato en:</t>
  </si>
  <si>
    <r>
      <t>TIMBRADO CONTR</t>
    </r>
    <r>
      <rPr>
        <sz val="10"/>
        <rFont val="Arial"/>
        <family val="2"/>
      </rPr>
      <t>ATO (1,35 %) - ARBA (1,20%)</t>
    </r>
  </si>
  <si>
    <t>. Vencido el cual, deberán ratificarse las condiciones pactadas. De no hacerse lo expresado, dentro de los quince (15) días posteriores al vencimiento, el PROFESIONAL queda liberado de sus obligaciones, sin necesidad de comunicación alguna al COMITENTE.</t>
  </si>
  <si>
    <t xml:space="preserve">               Artículo 7º)   La falta de pago de cualquiera de las sumas establecidas, producirá la Mora de Pleno Derecho, pudiendo el Profesional optar por cobrar un interés punitorio sobre el atraso, o dar por terminados los plazos establecidos y cobrar el saldo total de lo que se le adeudare, o rescindir el presente contrato quedando los sumas abonadas en concepto de indemnización.</t>
  </si>
  <si>
    <t>a) La contratación de todo el personal, el pago de sus remuneraciones, aportes legales (obra social, previsional, sindical, etc.) indemnizaciones y cualquier otro crédito laboral,  como así también, toda responsabilidad laboral, civil y/o penal que pudiera derivar de dicha relación, conforme lo determinan las normativas vigentes;</t>
  </si>
  <si>
    <t>b) La contratación de los seguros de riesgo por accidente de trabajo, de vida y cualquier otro que exigen las normas  que rigen la actividad.</t>
  </si>
  <si>
    <t xml:space="preserve">               Artículo 9º)  Los gastos extraordinarios serán a exclusivo costo y cargo del Comitente, como así también el pago de los Derechos de Construcción o sellados ante el Municipio respectivo, por las obras que se ejecutarán.  </t>
  </si>
  <si>
    <t xml:space="preserve">               Artículo 10º)  Para todos los efectos legales emergentes del presente contrato las partes constituyen domicilio legal en los arriba indicados y se someten a la jurisdicción de los Tribunales Ordinarios de </t>
  </si>
  <si>
    <t>renunciando a cualquier otro fuero o jurisdicción.-</t>
  </si>
  <si>
    <t xml:space="preserve">               Artículo 11º)  De conformidad y para que conste, se firman cinco (5) ejemplares del mismo tenor y a un solo efecto con el carácter de: </t>
  </si>
  <si>
    <t xml:space="preserve">Firma del Comitente              </t>
  </si>
  <si>
    <t xml:space="preserve">            En la ciudad de</t>
  </si>
  <si>
    <t>entre el señor</t>
  </si>
  <si>
    <t>; cuya designación catastral es</t>
  </si>
  <si>
    <t>, el día</t>
  </si>
  <si>
    <t>. DESTINO:</t>
  </si>
  <si>
    <t>LA UTILIZACIÓN DE ESTA PLANILLA, EXIME DE TODA RESPONSABILIDAD A JULIO A. ESTOUP Y A JUAN G. ESTOUP, POR CUALQUIER ERROR INVOLUNTARIO COMETIDO EN EL CÁLCULO</t>
  </si>
  <si>
    <t xml:space="preserve">DE HONORARIOS, JUBILATORIOS Y/O CUOTA DE EJERCICIO PROFESIONAL SU USO ES GRATUITO Y OPTATIVO. LOS VALORES RESULTANTES DE SU APLICACIÓN DEBERÁN SER  </t>
  </si>
  <si>
    <t>VERIFICADOS POR EL PROFESIONAL ACTUANTE, QUIEN SERÁ ÚNICO RESPONSABLE POR PERJUICIOS PROPIOS Y/O A TERCEROS INVOLUCRADOS.</t>
  </si>
  <si>
    <t>. Conforme a las normas legales, vigentes en la jurisdicción de la Provincia de Buenos Aires y el Código Civil.</t>
  </si>
  <si>
    <t>, en su carácter de COMITENTE, toma a su exclusivo cargo, la ejecución de la obra como EMPRESARIO.</t>
  </si>
  <si>
    <t xml:space="preserve">               Artículo 8º)   En virtud de lo establecido en el artículo 3º del presente, el COMITENTE asume expresamente bajo su costa y responsabilidad, los incisos que a continuación se indican: </t>
  </si>
  <si>
    <t xml:space="preserve">               Artículo 6º)  Con cada percepción de honorarios, el PROFESIONAL, efectuará los aportes previsionales que obliga el Art. 26 inc. b) de la Ley 12490.</t>
  </si>
  <si>
    <t>, Matrícula del Colegio de Técnicos de la Provincia de Buenos Aires Nº</t>
  </si>
  <si>
    <t>que obliga la Ley 12490 art. 26 inc. b.</t>
  </si>
  <si>
    <t>UR</t>
  </si>
  <si>
    <t>Monto Contado Mínimo</t>
  </si>
  <si>
    <t>Categ. 8º</t>
  </si>
  <si>
    <t xml:space="preserve">Categ. 8º </t>
  </si>
  <si>
    <t>Inciso a</t>
  </si>
  <si>
    <r>
      <t xml:space="preserve">2) Según Título VIII, Art. 19º, Tabla XXI </t>
    </r>
    <r>
      <rPr>
        <sz val="8"/>
        <rFont val="Arial"/>
        <family val="2"/>
      </rPr>
      <t>- Medición de Obra</t>
    </r>
  </si>
  <si>
    <r>
      <t xml:space="preserve">1) Según Título VIII, Art. 8º, Tabla XVIII - </t>
    </r>
    <r>
      <rPr>
        <sz val="8"/>
        <rFont val="Arial"/>
        <family val="2"/>
      </rPr>
      <t>Proyecto y Dirección de Obra</t>
    </r>
  </si>
  <si>
    <t xml:space="preserve">TOTAL (c1) </t>
  </si>
  <si>
    <t>TOTAL (c4)</t>
  </si>
  <si>
    <t>Demolición</t>
  </si>
  <si>
    <t>Medición (c2)</t>
  </si>
  <si>
    <t xml:space="preserve"> Representación Técnica</t>
  </si>
  <si>
    <t xml:space="preserve">Medición </t>
  </si>
  <si>
    <t>CUOTA DE EJERCICIO PROFESIONAL (C.E.P.)</t>
  </si>
  <si>
    <r>
      <t xml:space="preserve">Medición y conf. de planos para viviendas de Categoria </t>
    </r>
    <r>
      <rPr>
        <b/>
        <sz val="9"/>
        <rFont val="Arial"/>
        <family val="2"/>
      </rPr>
      <t xml:space="preserve"> A</t>
    </r>
  </si>
  <si>
    <t>Med. y conf. de planos de viv. de otras Categ. depós, galp, comercio</t>
  </si>
  <si>
    <t>ART. 29º</t>
  </si>
  <si>
    <t>U.F.:</t>
  </si>
  <si>
    <t xml:space="preserve">RESUMEN  DE GASTOS </t>
  </si>
  <si>
    <t>Importe</t>
  </si>
  <si>
    <t>HONORARIO de CONTRATO</t>
  </si>
  <si>
    <t>Tipo/categoría 8º</t>
  </si>
  <si>
    <t>CARÁCTER (Originario/Reajuste/Ampliat.)</t>
  </si>
  <si>
    <t xml:space="preserve">               Artículo 3º)  El Sr. </t>
  </si>
  <si>
    <t>en este acto, en concepto de:</t>
  </si>
  <si>
    <t>y el saldo, de $</t>
  </si>
  <si>
    <t>Honorario parcial</t>
  </si>
  <si>
    <t>PARTIDO DE</t>
  </si>
  <si>
    <t>BOLETA 3 -  ART. 29º</t>
  </si>
  <si>
    <t>MONTO APORTE RESTANTE</t>
  </si>
  <si>
    <t>MONTO APORTE TOTAL</t>
  </si>
  <si>
    <t>T. Faltant.</t>
  </si>
  <si>
    <t>AFILIADO Nº</t>
  </si>
  <si>
    <t>Aporte para la Caja de Previsión Social para Prof. de la Ingeniería de la Prov. de Bs As</t>
  </si>
  <si>
    <t>Inciso a en</t>
  </si>
  <si>
    <t>m² a razón de $/m²</t>
  </si>
  <si>
    <t>ENTRE:</t>
  </si>
  <si>
    <t>y</t>
  </si>
  <si>
    <t>Trabajos Faltantes</t>
  </si>
  <si>
    <t xml:space="preserve"> m² cub ó semic a razón de</t>
  </si>
  <si>
    <t>SISTEMA DE EJECUCIÓN DE LA OBRA POR</t>
  </si>
  <si>
    <r>
      <t xml:space="preserve">Artículo 3º: </t>
    </r>
    <r>
      <rPr>
        <sz val="10"/>
        <rFont val="Times New Roman"/>
        <family val="1"/>
      </rPr>
      <t>El Sr.</t>
    </r>
  </si>
  <si>
    <t>PARTE ENTERA</t>
  </si>
  <si>
    <t>DECIMAL</t>
  </si>
  <si>
    <t>MONEDA</t>
  </si>
  <si>
    <t>MILLONES</t>
  </si>
  <si>
    <t>MILES</t>
  </si>
  <si>
    <t>CENTENAS</t>
  </si>
  <si>
    <t xml:space="preserve">DECENAS </t>
  </si>
  <si>
    <t>DECENAS</t>
  </si>
  <si>
    <t>UNIDADES</t>
  </si>
  <si>
    <t>CANTIDAD</t>
  </si>
  <si>
    <t>UNION LETRAS</t>
  </si>
  <si>
    <t>TABLA1</t>
  </si>
  <si>
    <t>TABLA 2</t>
  </si>
  <si>
    <t>TABLA 3</t>
  </si>
  <si>
    <t>TABLA 4</t>
  </si>
  <si>
    <t>CIEN</t>
  </si>
  <si>
    <t>DIEZ</t>
  </si>
  <si>
    <t>UNO</t>
  </si>
  <si>
    <t>UN</t>
  </si>
  <si>
    <t>MILLON</t>
  </si>
  <si>
    <t>CIENTO</t>
  </si>
  <si>
    <t>ONCE</t>
  </si>
  <si>
    <t>DOS</t>
  </si>
  <si>
    <t>DOSCIENTOS</t>
  </si>
  <si>
    <t>DOCE</t>
  </si>
  <si>
    <t>TRES</t>
  </si>
  <si>
    <t>TRESCIENTOS</t>
  </si>
  <si>
    <t>TRECE</t>
  </si>
  <si>
    <t>CUATRO</t>
  </si>
  <si>
    <t>CUATROCIENTOS</t>
  </si>
  <si>
    <t>CATORCE</t>
  </si>
  <si>
    <t>CINCO</t>
  </si>
  <si>
    <t>QUINIENTOS</t>
  </si>
  <si>
    <t>QUINCE</t>
  </si>
  <si>
    <t>SEIS</t>
  </si>
  <si>
    <t>SEISCIENTOS</t>
  </si>
  <si>
    <t>DIECI</t>
  </si>
  <si>
    <t>SIETE</t>
  </si>
  <si>
    <t>SETECIENTOS</t>
  </si>
  <si>
    <t>VEINTE</t>
  </si>
  <si>
    <t>OCHO</t>
  </si>
  <si>
    <t>OCHOCIENTOS</t>
  </si>
  <si>
    <t>VEINTI</t>
  </si>
  <si>
    <t>NUEVE</t>
  </si>
  <si>
    <t>NOVECIENTOS</t>
  </si>
  <si>
    <t>TREINTA</t>
  </si>
  <si>
    <t>CUARENTA</t>
  </si>
  <si>
    <t>CINCUENTA</t>
  </si>
  <si>
    <t>SESENTA</t>
  </si>
  <si>
    <t>SETENTA</t>
  </si>
  <si>
    <t>OCHENTA</t>
  </si>
  <si>
    <t>NOVENTA</t>
  </si>
  <si>
    <t>PESOS  EN  LETRAS:</t>
  </si>
  <si>
    <t>Son Pesos:</t>
  </si>
  <si>
    <r>
      <t xml:space="preserve">Artículo 4º: </t>
    </r>
    <r>
      <rPr>
        <sz val="10"/>
        <rFont val="Times New Roman"/>
        <family val="1"/>
      </rPr>
      <t>El Comitente abonará al profesional los ho-</t>
    </r>
  </si>
  <si>
    <r>
      <t>Artículo 5º:</t>
    </r>
    <r>
      <rPr>
        <sz val="10"/>
        <rFont val="Times New Roman"/>
        <family val="1"/>
      </rPr>
      <t xml:space="preserve"> Se establece como plazo de vigencia del presente contrato :</t>
    </r>
  </si>
  <si>
    <r>
      <t>Artículo 6º:</t>
    </r>
    <r>
      <rPr>
        <sz val="9.5"/>
        <rFont val="Times New Roman"/>
        <family val="1"/>
      </rPr>
      <t xml:space="preserve"> Con cada percepción de honorarios , el PROFESIONAL efectuará los aportes previsionales a </t>
    </r>
  </si>
  <si>
    <r>
      <t>Artículo 7º:</t>
    </r>
    <r>
      <rPr>
        <sz val="10"/>
        <rFont val="Times New Roman"/>
        <family val="1"/>
      </rPr>
      <t xml:space="preserve"> La falta de pago de cualquiera de las sumas establecidas, producirá la Mora de Pleno Derecho, </t>
    </r>
  </si>
  <si>
    <t>, DNI Nº</t>
  </si>
  <si>
    <t>, con domicilio real en</t>
  </si>
  <si>
    <t>, Partido de</t>
  </si>
  <si>
    <t>, llamado en adelante el COMITENTE, y</t>
  </si>
  <si>
    <t>, Con Título Profesional de</t>
  </si>
  <si>
    <t>Observaciones</t>
  </si>
  <si>
    <t>Sección:</t>
  </si>
  <si>
    <t>Manzana:</t>
  </si>
  <si>
    <t xml:space="preserve">Supl. Direcc.Demolic. </t>
  </si>
  <si>
    <t xml:space="preserve">PROYECTO   60%   50%    0%     </t>
  </si>
  <si>
    <t xml:space="preserve">DIRECCIÓN    40%   30%   0%      </t>
  </si>
  <si>
    <t>15.2.3 Comercio o serv. anexos a estaciones de servicio liquidar según Item 3 COMERCIO</t>
  </si>
  <si>
    <t xml:space="preserve">    Me notifico que la presente certificación no me exime de las  </t>
  </si>
  <si>
    <t xml:space="preserve">obligaciones legales (Código Civil Art. 1.646), Impositivas (Ingresos  </t>
  </si>
  <si>
    <t xml:space="preserve">  Ing. Civil - M.M. de Obras Juan G. ESTOUP -</t>
  </si>
  <si>
    <t>Si</t>
  </si>
  <si>
    <t>No</t>
  </si>
  <si>
    <t>Brutos, Afip; Ley de sellos) Previsionales ni Sindicales.</t>
  </si>
  <si>
    <t>Parcela:</t>
  </si>
  <si>
    <t>Circunscripción:</t>
  </si>
  <si>
    <t>, para la obra ubicada en</t>
  </si>
  <si>
    <t>, de la localidad de</t>
  </si>
  <si>
    <t xml:space="preserve">               Artículo 2º)   Por las tareas detalladas en el artículo anterior el COMITENTE abonará al PROFESIONAL, los honorarios de común acuerdo convenidos, que ascienden a la suma de pesos: $</t>
  </si>
  <si>
    <r>
      <t>Artículo 9º:</t>
    </r>
    <r>
      <rPr>
        <sz val="10"/>
        <rFont val="Times New Roman"/>
        <family val="1"/>
      </rPr>
      <t xml:space="preserve"> Los gastos extraordinarios serán a exclusivo costo y cargo del Comitente, como así también el </t>
    </r>
  </si>
  <si>
    <r>
      <t>Artículo 10º:</t>
    </r>
    <r>
      <rPr>
        <sz val="10"/>
        <rFont val="Times New Roman"/>
        <family val="1"/>
      </rPr>
      <t>Para todos los efectos legales emergentes del presente contrato las partes constituyen domicilio</t>
    </r>
  </si>
  <si>
    <r>
      <t>Artículo 11º:</t>
    </r>
    <r>
      <rPr>
        <sz val="10"/>
        <rFont val="Times New Roman"/>
        <family val="1"/>
      </rPr>
      <t xml:space="preserve"> De conformidad y para que conste, se firman cinco (5) ejemplares del mismo tenor y a un solo </t>
    </r>
  </si>
  <si>
    <t>Originario firmado por las partes oportunamente.</t>
  </si>
  <si>
    <t xml:space="preserve">rior, el comitente abonará al profesional los honorarios de </t>
  </si>
  <si>
    <t>REAJUSTE convenidos, que ascienden a la suma de pesos:</t>
  </si>
  <si>
    <t>norarios pactados en el presente contrato de REAJUSTE al contado.</t>
  </si>
  <si>
    <t xml:space="preserve">, llamado en adelante el PROFESIONAL, se conviene en celebrar el siguiente contrato de Locación de Servicios.  </t>
  </si>
  <si>
    <t>Por Computo y Presupuesto................................</t>
  </si>
  <si>
    <t>Demolición Proyecto</t>
  </si>
  <si>
    <t>(c3)</t>
  </si>
  <si>
    <t xml:space="preserve">TOTAL </t>
  </si>
  <si>
    <t xml:space="preserve">Suplemento por </t>
  </si>
  <si>
    <r>
      <t xml:space="preserve">1.6 PISCINAS </t>
    </r>
    <r>
      <rPr>
        <sz val="10"/>
        <rFont val="Arial"/>
        <family val="2"/>
      </rPr>
      <t>(m² por espejo de agua)</t>
    </r>
  </si>
  <si>
    <r>
      <t xml:space="preserve">13.3 Natatorios  ( </t>
    </r>
    <r>
      <rPr>
        <b/>
        <sz val="8"/>
        <rFont val="Arial"/>
        <family val="2"/>
      </rPr>
      <t>PILETAS COMUNES ver 1.6)</t>
    </r>
  </si>
  <si>
    <r>
      <t xml:space="preserve">1.1.2 Menores de 70 m2 (individuales)                              </t>
    </r>
    <r>
      <rPr>
        <b/>
        <sz val="8"/>
        <rFont val="Arial"/>
        <family val="2"/>
      </rPr>
      <t xml:space="preserve"> Art. 25º Dcto.6964/65</t>
    </r>
  </si>
  <si>
    <t>FECHA Y LUGAR DE CONTRATACIÓN</t>
  </si>
  <si>
    <r>
      <t xml:space="preserve">12.2 Edificios públicos                                                                               </t>
    </r>
    <r>
      <rPr>
        <b/>
        <sz val="8"/>
        <rFont val="Arial"/>
        <family val="2"/>
      </rPr>
      <t>s/cómp. y pres.</t>
    </r>
  </si>
  <si>
    <t xml:space="preserve">Nº AFILIADO A LA CAJA </t>
  </si>
  <si>
    <t>MATRICULA CTPBA</t>
  </si>
  <si>
    <t>MES (en letras)</t>
  </si>
  <si>
    <t>AÑO (en número)</t>
  </si>
  <si>
    <t>DÍA (en número)</t>
  </si>
  <si>
    <t>Resolución del CTPBA</t>
  </si>
  <si>
    <t xml:space="preserve"> m² a razón de</t>
  </si>
  <si>
    <t xml:space="preserve"> m² cub. a razón de</t>
  </si>
  <si>
    <t xml:space="preserve"> m² a razón de </t>
  </si>
  <si>
    <t xml:space="preserve">Suplem. de Dirección </t>
  </si>
  <si>
    <t>(dd/mm/aaaa)</t>
  </si>
  <si>
    <t>MAT. CTPBA N°:</t>
  </si>
  <si>
    <r>
      <t xml:space="preserve">11.3.4 Mantenimiento red vial                   </t>
    </r>
    <r>
      <rPr>
        <b/>
        <sz val="8"/>
        <rFont val="Arial"/>
        <family val="2"/>
      </rPr>
      <t xml:space="preserve">                                             s/cómp. y pres.</t>
    </r>
  </si>
  <si>
    <r>
      <t xml:space="preserve">11.4 Estudios de suelo; por metro de perforación         </t>
    </r>
    <r>
      <rPr>
        <b/>
        <sz val="8"/>
        <rFont val="Arial"/>
        <family val="2"/>
      </rPr>
      <t xml:space="preserve">                       s/cómp. y pres.</t>
    </r>
  </si>
  <si>
    <r>
      <t xml:space="preserve">11.6 Movimiento de tierra                                                                        </t>
    </r>
    <r>
      <rPr>
        <b/>
        <sz val="8"/>
        <rFont val="Arial"/>
        <family val="2"/>
      </rPr>
      <t>s/cómp. y pres.</t>
    </r>
  </si>
  <si>
    <r>
      <t xml:space="preserve">Modificaciones Internas                                                                          </t>
    </r>
    <r>
      <rPr>
        <b/>
        <sz val="8"/>
        <rFont val="Arial"/>
        <family val="2"/>
      </rPr>
      <t xml:space="preserve">  s/comp. y pres.</t>
    </r>
  </si>
  <si>
    <t xml:space="preserve">   $/m² </t>
  </si>
  <si>
    <t>x</t>
  </si>
  <si>
    <t xml:space="preserve"> m² a razón calc.</t>
  </si>
  <si>
    <t>% EN RELACIÓN AL HON.</t>
  </si>
  <si>
    <t xml:space="preserve">IMPORTE EN LETRAS DEL TOTAL </t>
  </si>
  <si>
    <t>MONTO TOTAL APORTE</t>
  </si>
  <si>
    <t>HOJA  UTILIZADA POR EL PROGRAMA PARA</t>
  </si>
  <si>
    <t xml:space="preserve"> CÁLCULOS INTERNOS SE RECOMIENDA NO INGRESAR</t>
  </si>
  <si>
    <t>Sucursal</t>
  </si>
  <si>
    <t>Nº de Boleta</t>
  </si>
  <si>
    <t xml:space="preserve">Sellado </t>
  </si>
  <si>
    <t>DNI N°</t>
  </si>
  <si>
    <t>DEMOLICIÓN</t>
  </si>
  <si>
    <t xml:space="preserve">PROPIETARIO: </t>
  </si>
  <si>
    <t>UBICACIÓN DE LA OBRA:</t>
  </si>
  <si>
    <t>N°</t>
  </si>
  <si>
    <t>Sec.:</t>
  </si>
  <si>
    <t>Manz.:</t>
  </si>
  <si>
    <t>EJERCICIO PROFESIONAL DIRECTOR</t>
  </si>
  <si>
    <t>EJERCICIO PROFESIONAL CONSTRUC</t>
  </si>
  <si>
    <t>2) DETERMINACIÓN  DEL HONORARIO</t>
  </si>
  <si>
    <t>El honorario del presente asciende a pesos:</t>
  </si>
  <si>
    <t>CONSTRUCTOR</t>
  </si>
  <si>
    <t>1) DETERMINACIÓN  DEL MONTO DE OBRA NUEVA</t>
  </si>
  <si>
    <t>Computo y Presupuesto monto global</t>
  </si>
  <si>
    <t>Cuota de Ejercicio Prof. para el Coleg. de Técnicos de la Prov. de Bs As</t>
  </si>
  <si>
    <t>Suplem Demol.</t>
  </si>
  <si>
    <t>Direcc.Demolic.</t>
  </si>
  <si>
    <t>Proy. Demolic.</t>
  </si>
  <si>
    <t xml:space="preserve">Suplemento de Dirección </t>
  </si>
  <si>
    <t>Dirección por</t>
  </si>
  <si>
    <t>Aporte para la Caja de Previsión Social para Prof. de la Ingeniería de la Prov. de Bs As  AFILIADO N°</t>
  </si>
  <si>
    <t>Sucursal Banco</t>
  </si>
  <si>
    <t>VISADO</t>
  </si>
  <si>
    <t>Categoría 8º</t>
  </si>
  <si>
    <t>FC:</t>
  </si>
  <si>
    <t>U.R.:</t>
  </si>
  <si>
    <t xml:space="preserve">en concepto de Reajuste de Honorarios, quedando vigentes todas las cláusulas pactadas en el Contrato </t>
  </si>
  <si>
    <t>requerirle, se sirva disponer al otorgamiento del presente Certificado por TAREAS de CONSTRUCCIÓN.</t>
  </si>
  <si>
    <t>inhabilitaciones y tiene incumbencia para realizar la tarea encomendada.</t>
  </si>
  <si>
    <t>Ejecutor es equivalente al 50 % de la Dirección de dicha obra.</t>
  </si>
  <si>
    <t xml:space="preserve">   El profesional solicitante del presente tiene matrícula al día, no tiene </t>
  </si>
  <si>
    <t xml:space="preserve">   La liquidación por tabla desarrollada por la tarea de Constructor y/o </t>
  </si>
  <si>
    <t>con domicilio en la calle</t>
  </si>
  <si>
    <t xml:space="preserve">Partido: </t>
  </si>
  <si>
    <t>se dirige al Sr. Presidente a fin de</t>
  </si>
  <si>
    <t>b) La contratación de los seguros de riesgo por accidente de trabajo, de vida y cualquier otro que exijan las normas</t>
  </si>
  <si>
    <t>con renunciación expresa a cualquier otro fuero.-</t>
  </si>
  <si>
    <t>CONTRIBUCIÓN OBLIGATORIA (Art 29 Ley 12490)</t>
  </si>
  <si>
    <t>DETERMINACIÓN DE LA CONTRIBUCIÓN:</t>
  </si>
  <si>
    <t>Fecha actual:</t>
  </si>
  <si>
    <t>13.2.4 Con trib. c/ estruc. de luces may. de 15 m, isostátic. o hiperestáticas</t>
  </si>
  <si>
    <t>13.3.1 Descubiertos (espejo de agua)</t>
  </si>
  <si>
    <t>18.1 HP y/CV, cada uno</t>
  </si>
  <si>
    <t>18.2 Boca de alumbrado, gas, aire comprimiodo y de vacio</t>
  </si>
  <si>
    <r>
      <t xml:space="preserve">18.3 Instalaciones de baja tensión(Telef-TV-alarm) por boca                                                      </t>
    </r>
    <r>
      <rPr>
        <b/>
        <sz val="8"/>
        <rFont val="Arial"/>
        <family val="2"/>
      </rPr>
      <t xml:space="preserve">   s/cómp. y pres</t>
    </r>
    <r>
      <rPr>
        <sz val="8"/>
        <rFont val="Arial"/>
        <family val="2"/>
      </rPr>
      <t>.</t>
    </r>
  </si>
  <si>
    <r>
      <t xml:space="preserve">18.4 Las no comprendidas en incisos anteriores                                                     </t>
    </r>
    <r>
      <rPr>
        <b/>
        <sz val="8"/>
        <rFont val="Arial"/>
        <family val="2"/>
      </rPr>
      <t xml:space="preserve">   s/cómp. y pres</t>
    </r>
    <r>
      <rPr>
        <sz val="8"/>
        <rFont val="Arial"/>
        <family val="2"/>
      </rPr>
      <t>.</t>
    </r>
  </si>
  <si>
    <r>
      <t xml:space="preserve">  </t>
    </r>
    <r>
      <rPr>
        <b/>
        <sz val="8"/>
        <rFont val="Arial"/>
        <family val="2"/>
      </rPr>
      <t xml:space="preserve"> s/comp. y pres.</t>
    </r>
  </si>
  <si>
    <t xml:space="preserve">    VARIOS</t>
  </si>
  <si>
    <t>4.2 Salones de fiesta, locales bailables</t>
  </si>
  <si>
    <t>b) La contratación de los seguros de riesgo por accidente de trabajo, de vida y cualquier otro que exigen las normas</t>
  </si>
  <si>
    <t>ciación expresa a cualquier otro fuero.-</t>
  </si>
  <si>
    <t>s/ siguientes.</t>
  </si>
  <si>
    <t>1.6.2 Las no comprendidas en el ítem 1.6.1</t>
  </si>
  <si>
    <t>PROYECTO Y DIRECCIÓN</t>
  </si>
  <si>
    <t>MEDICIÓN</t>
  </si>
  <si>
    <t>CIRCUNSCRIPCIÓN</t>
  </si>
  <si>
    <t>SECCIÓN</t>
  </si>
  <si>
    <t>DESCRIPCIÓN</t>
  </si>
  <si>
    <t>OBRAS NUEVAS ( PROYECTO Y DIRECCIÓN )</t>
  </si>
  <si>
    <t>HONORARIO PROYECTO Y DIRECCIÓN</t>
  </si>
  <si>
    <t>9. GASTRONOMÍA</t>
  </si>
  <si>
    <t>9.1 Parrillas, casas de comida</t>
  </si>
  <si>
    <t>OBRAS CONSTRUIDAS ( MEDICIÓN )</t>
  </si>
  <si>
    <t>HONORARIO MEDICIÓN</t>
  </si>
  <si>
    <t>CONTRIBUCIÓN OBLIGATORIA ART. 29º  -  10% DE</t>
  </si>
  <si>
    <t>HONORARIO DEMOLICIÓN</t>
  </si>
  <si>
    <t>CONSTRUCCIÓN</t>
  </si>
  <si>
    <t>13.2.5 Ídem mayores de 15 m. , especiales</t>
  </si>
  <si>
    <t>HONORARIOS MÍNIMOS</t>
  </si>
  <si>
    <t>APORTE JUBILA TORIO CAJA</t>
  </si>
  <si>
    <t>17.3 Estructura por m³</t>
  </si>
  <si>
    <t>Al Sr. Presidente del Colegio de Técnicos de la Provincia de Buenos Aires:</t>
  </si>
  <si>
    <t>Quien suscribe el presente, Técnico</t>
  </si>
  <si>
    <t xml:space="preserve">inscripto en el Colegio de Técnicos con la Matrícula: </t>
  </si>
  <si>
    <t>Fecha :</t>
  </si>
  <si>
    <t>m² a razón de</t>
  </si>
  <si>
    <t>$ / m² =</t>
  </si>
  <si>
    <r>
      <t xml:space="preserve">Cambio de techos                                                                                   </t>
    </r>
    <r>
      <rPr>
        <b/>
        <sz val="8"/>
        <rFont val="Arial"/>
        <family val="2"/>
      </rPr>
      <t xml:space="preserve">  s/comp. y pres</t>
    </r>
    <r>
      <rPr>
        <sz val="8"/>
        <rFont val="Arial"/>
        <family val="2"/>
      </rPr>
      <t>.</t>
    </r>
  </si>
  <si>
    <r>
      <t xml:space="preserve">Con dependencia de servicio </t>
    </r>
    <r>
      <rPr>
        <sz val="7"/>
        <rFont val="Arial"/>
        <family val="2"/>
      </rPr>
      <t>(Se interpreta como, habitad correspondiente a personal de servicio)</t>
    </r>
  </si>
  <si>
    <t>obra como Empresario.</t>
  </si>
  <si>
    <t>El Propietario y el Profesional, autorizan al Colegio de Técnicos de la Provincia de Buenos Aires a inspec-</t>
  </si>
  <si>
    <t>Contribución Art.º 29 Ley 12490</t>
  </si>
  <si>
    <t>30%; 45% ó 60%</t>
  </si>
  <si>
    <t>no</t>
  </si>
  <si>
    <t xml:space="preserve">       COLEGIO DE TECNICOS DE LA PROVINCIA DE BUENOS AIRES</t>
  </si>
  <si>
    <t xml:space="preserve">       LEY 10.411</t>
  </si>
  <si>
    <t>Coeficiente Actualización</t>
  </si>
  <si>
    <t>SUPERFICIE</t>
  </si>
  <si>
    <t>CUBIERTA</t>
  </si>
  <si>
    <t>SEMICUBIERTA</t>
  </si>
  <si>
    <t>INFORME TECNICO - Titulo II - Articulo 5</t>
  </si>
  <si>
    <t>Inciso A =</t>
  </si>
  <si>
    <t>Inciso B =</t>
  </si>
  <si>
    <t>Inciso C = Valor en Juego</t>
  </si>
  <si>
    <t>Parcial</t>
  </si>
  <si>
    <t>Acumulado</t>
  </si>
  <si>
    <t>Excedente</t>
  </si>
  <si>
    <t>Honorario =</t>
  </si>
  <si>
    <t xml:space="preserve">Monto de Obra = </t>
  </si>
  <si>
    <t>Honorario Minimo por Informe Tecnico =</t>
  </si>
  <si>
    <t xml:space="preserve">Informe Técnico </t>
  </si>
  <si>
    <t>Semi</t>
  </si>
  <si>
    <t>Cubierta</t>
  </si>
  <si>
    <t>Con Ante</t>
  </si>
  <si>
    <r>
      <t xml:space="preserve">                                                                                 El presente formulario se emite en 2 ejemplares - Normativa: </t>
    </r>
    <r>
      <rPr>
        <b/>
        <sz val="8"/>
        <color indexed="10"/>
        <rFont val="Arial"/>
        <family val="2"/>
      </rPr>
      <t>DN B 05-07</t>
    </r>
  </si>
  <si>
    <t>E-mail</t>
  </si>
  <si>
    <t>-</t>
  </si>
  <si>
    <t>Fax</t>
  </si>
  <si>
    <t>Telefono</t>
  </si>
  <si>
    <t>Localidad</t>
  </si>
  <si>
    <t>Partido</t>
  </si>
  <si>
    <t>C.Postal</t>
  </si>
  <si>
    <t>Provincia</t>
  </si>
  <si>
    <t>Manzana</t>
  </si>
  <si>
    <t>Dpto</t>
  </si>
  <si>
    <t>Piso</t>
  </si>
  <si>
    <t>Torre</t>
  </si>
  <si>
    <t>Km</t>
  </si>
  <si>
    <t>Ruta</t>
  </si>
  <si>
    <t>Número</t>
  </si>
  <si>
    <t>Calle</t>
  </si>
  <si>
    <t>Ubicación de la Producción, Bien o Servicio</t>
  </si>
  <si>
    <t>Domicilio Fiscal</t>
  </si>
  <si>
    <t>CUIT / CUIL / CDI</t>
  </si>
  <si>
    <t>Apellido / Razon Social</t>
  </si>
  <si>
    <t>Datos del Contribuyente</t>
  </si>
  <si>
    <t>R-115U</t>
  </si>
  <si>
    <t>BUENOS AIRES</t>
  </si>
  <si>
    <t xml:space="preserve">   El que suscribe</t>
  </si>
  <si>
    <t xml:space="preserve">,         con </t>
  </si>
  <si>
    <t xml:space="preserve">   CUIT/CUIL:</t>
  </si>
  <si>
    <t xml:space="preserve">   datos  consignados en este  formulario son correctos y completos , y que esta declara-</t>
  </si>
  <si>
    <t xml:space="preserve">   ción se ha  confeccionado sin omitir ni falsear dato alguno que daba contener , siendo </t>
  </si>
  <si>
    <t xml:space="preserve">   fiel expresión de la verdad.</t>
  </si>
  <si>
    <t xml:space="preserve">en su carácter de  PROPIETARIO , declara que los </t>
  </si>
  <si>
    <t>ASDASD</t>
  </si>
  <si>
    <t>SI</t>
  </si>
  <si>
    <t>MINIMO $2750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</si>
</sst>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 #,##0;[Red]&quot;$&quot;\ \-#,##0"/>
    <numFmt numFmtId="165" formatCode="&quot;$&quot;\ #,##0.00;[Red]&quot;$&quot;\ \-#,##0.00"/>
    <numFmt numFmtId="166" formatCode="_ &quot;$&quot;\ * #,##0.00_ ;_ &quot;$&quot;\ * \-#,##0.00_ ;_ &quot;$&quot;\ * &quot;-&quot;??_ ;_ @_ "/>
    <numFmt numFmtId="167" formatCode="_ * #,##0.00_ ;_ * \-#,##0.00_ ;_ * &quot;-&quot;??_ ;_ @_ "/>
    <numFmt numFmtId="168" formatCode="_(&quot;$&quot;* #,##0.00_);_(&quot;$&quot;* \(#,##0.00\);_(&quot;$&quot;* &quot;-&quot;??_);_(@_)"/>
    <numFmt numFmtId="169" formatCode="\(00\)"/>
    <numFmt numFmtId="170" formatCode="\(0\)"/>
    <numFmt numFmtId="171" formatCode="&quot;$&quot;#,##0.00"/>
    <numFmt numFmtId="172" formatCode="0.0000"/>
    <numFmt numFmtId="173" formatCode="_ [$$-2C0A]\ * #,##0.00_ ;_ [$$-2C0A]\ * \-#,##0.00_ ;_ [$$-2C0A]\ * &quot;-&quot;??_ ;_ @_ "/>
    <numFmt numFmtId="174" formatCode="_(&quot;$&quot;* #,##0.000_);_(&quot;$&quot;* \(#,##0.000\);_(&quot;$&quot;* &quot;-&quot;??_);_(@_)"/>
    <numFmt numFmtId="175" formatCode="_(* #,##0.00_);_(* \(#,##0.00\);_(* &quot;-&quot;??_);_(@_)"/>
    <numFmt numFmtId="176" formatCode="_(* #,##0_);_(* \(#,##0\);_(* &quot;-&quot;_);_(@_)"/>
    <numFmt numFmtId="177" formatCode="#,\-"/>
    <numFmt numFmtId="178" formatCode="\(&quot;$&quot;0.00\)"/>
    <numFmt numFmtId="179" formatCode="0.000"/>
    <numFmt numFmtId="180" formatCode="0.0%"/>
    <numFmt numFmtId="181" formatCode="&quot;$&quot;#,##0.00_);\(&quot;$&quot;#,##0.00\)"/>
    <numFmt numFmtId="182" formatCode="_(&quot;$&quot;* #,##0.0_);_(&quot;$&quot;* \(#,##0.0\);_(&quot;$&quot;* &quot;-&quot;??_);_(@_)"/>
    <numFmt numFmtId="183" formatCode="_(&quot;$&quot;* #,##0_);_(&quot;$&quot;* \(#,##0\);_(&quot;$&quot;* &quot;-&quot;??_);_(@_)"/>
    <numFmt numFmtId="184" formatCode="&quot;$&quot;#,##0.00_);[Red]\(&quot;$&quot;#,##0.00\)"/>
    <numFmt numFmtId="185" formatCode="\(&quot;$&quot;#,##0.00\)"/>
    <numFmt numFmtId="186" formatCode="_-* #,##0.00\ _€_-;\-* #,##0.00\ _€_-;_-* &quot;-&quot;??\ _€_-;_-@_-"/>
    <numFmt numFmtId="187" formatCode="_(&quot;$&quot;* #,##0.00_);_(&quot;$&quot;* \(#,##0.00\);_(&quot;$&quot;* &quot;-&quot;_);_(@_)"/>
    <numFmt numFmtId="188" formatCode="[$-2C0A]d&quot; de &quot;mmmm&quot; de &quot;yyyy;@"/>
    <numFmt numFmtId="189" formatCode="dd/mm/yyyy;@"/>
    <numFmt numFmtId="190" formatCode="[$$-2C0A]\ #,##0.00"/>
  </numFmts>
  <fonts count="85" x14ac:knownFonts="1">
    <font>
      <sz val="10"/>
      <name val="Arial"/>
    </font>
    <font>
      <sz val="10"/>
      <name val="Arial"/>
      <family val="2"/>
    </font>
    <font>
      <sz val="9"/>
      <name val="Arial"/>
      <family val="2"/>
    </font>
    <font>
      <b/>
      <sz val="10"/>
      <name val="Arial"/>
      <family val="2"/>
    </font>
    <font>
      <sz val="10"/>
      <name val="Arial"/>
      <family val="2"/>
    </font>
    <font>
      <b/>
      <sz val="10"/>
      <name val="Arial"/>
      <family val="2"/>
    </font>
    <font>
      <sz val="10"/>
      <color indexed="43"/>
      <name val="Arial"/>
      <family val="2"/>
    </font>
    <font>
      <b/>
      <sz val="10"/>
      <color indexed="43"/>
      <name val="Arial"/>
      <family val="2"/>
    </font>
    <font>
      <sz val="8"/>
      <color indexed="8"/>
      <name val="Arial"/>
      <family val="2"/>
    </font>
    <font>
      <b/>
      <sz val="10"/>
      <color indexed="10"/>
      <name val="Arial"/>
      <family val="2"/>
    </font>
    <font>
      <sz val="12"/>
      <name val="Arial"/>
      <family val="2"/>
    </font>
    <font>
      <sz val="8"/>
      <name val="Arial"/>
      <family val="2"/>
    </font>
    <font>
      <b/>
      <sz val="8"/>
      <name val="Arial"/>
      <family val="2"/>
    </font>
    <font>
      <sz val="6"/>
      <name val="Arial"/>
      <family val="2"/>
    </font>
    <font>
      <sz val="10"/>
      <color indexed="47"/>
      <name val="Arial"/>
      <family val="2"/>
    </font>
    <font>
      <sz val="8"/>
      <color indexed="47"/>
      <name val="Arial"/>
      <family val="2"/>
    </font>
    <font>
      <sz val="9"/>
      <color indexed="10"/>
      <name val="Arial"/>
      <family val="2"/>
    </font>
    <font>
      <sz val="8"/>
      <color indexed="10"/>
      <name val="Arial"/>
      <family val="2"/>
    </font>
    <font>
      <b/>
      <sz val="9"/>
      <name val="Arial"/>
      <family val="2"/>
    </font>
    <font>
      <sz val="8"/>
      <color indexed="12"/>
      <name val="Arial"/>
      <family val="2"/>
    </font>
    <font>
      <sz val="8"/>
      <name val="Arial"/>
      <family val="2"/>
    </font>
    <font>
      <sz val="10"/>
      <color indexed="55"/>
      <name val="Arial"/>
      <family val="2"/>
    </font>
    <font>
      <sz val="7"/>
      <name val="Arial"/>
      <family val="2"/>
    </font>
    <font>
      <sz val="10"/>
      <color indexed="43"/>
      <name val="Arial"/>
      <family val="2"/>
    </font>
    <font>
      <sz val="10"/>
      <color indexed="10"/>
      <name val="Arial"/>
      <family val="2"/>
    </font>
    <font>
      <sz val="10"/>
      <color indexed="8"/>
      <name val="Arial"/>
      <family val="2"/>
    </font>
    <font>
      <b/>
      <sz val="8"/>
      <color indexed="10"/>
      <name val="Arial"/>
      <family val="2"/>
    </font>
    <font>
      <b/>
      <u/>
      <sz val="10"/>
      <name val="Arial"/>
      <family val="2"/>
    </font>
    <font>
      <b/>
      <sz val="11"/>
      <name val="Times New Roman"/>
      <family val="1"/>
    </font>
    <font>
      <b/>
      <sz val="10"/>
      <name val="Times New Roman"/>
      <family val="1"/>
    </font>
    <font>
      <sz val="10"/>
      <name val="Times New Roman"/>
      <family val="1"/>
    </font>
    <font>
      <sz val="9.5"/>
      <name val="Times New Roman"/>
      <family val="1"/>
    </font>
    <font>
      <sz val="9"/>
      <name val="Times New Roman"/>
      <family val="1"/>
    </font>
    <font>
      <b/>
      <sz val="9.5"/>
      <name val="Times New Roman"/>
      <family val="1"/>
    </font>
    <font>
      <sz val="9.1999999999999993"/>
      <name val="Times New Roman"/>
      <family val="1"/>
    </font>
    <font>
      <b/>
      <u/>
      <sz val="8"/>
      <name val="Arial"/>
      <family val="2"/>
    </font>
    <font>
      <b/>
      <i/>
      <sz val="8"/>
      <name val="Arial"/>
      <family val="2"/>
    </font>
    <font>
      <sz val="10"/>
      <color indexed="12"/>
      <name val="Arial"/>
      <family val="2"/>
    </font>
    <font>
      <b/>
      <sz val="14"/>
      <name val="Arial"/>
      <family val="2"/>
    </font>
    <font>
      <sz val="11"/>
      <name val="Arial"/>
      <family val="2"/>
    </font>
    <font>
      <u/>
      <sz val="12"/>
      <name val="Arial"/>
      <family val="2"/>
    </font>
    <font>
      <sz val="10"/>
      <color indexed="22"/>
      <name val="Arial"/>
      <family val="2"/>
    </font>
    <font>
      <sz val="8"/>
      <color indexed="22"/>
      <name val="Arial"/>
      <family val="2"/>
    </font>
    <font>
      <sz val="5"/>
      <name val="Arial"/>
      <family val="2"/>
    </font>
    <font>
      <sz val="10"/>
      <color indexed="47"/>
      <name val="Arial"/>
      <family val="2"/>
    </font>
    <font>
      <sz val="8"/>
      <color indexed="47"/>
      <name val="Arial"/>
      <family val="2"/>
    </font>
    <font>
      <b/>
      <sz val="10"/>
      <color indexed="47"/>
      <name val="Arial"/>
      <family val="2"/>
    </font>
    <font>
      <sz val="6"/>
      <color indexed="47"/>
      <name val="Arial"/>
      <family val="2"/>
    </font>
    <font>
      <sz val="10"/>
      <color indexed="13"/>
      <name val="Arial"/>
      <family val="2"/>
    </font>
    <font>
      <b/>
      <u/>
      <sz val="10"/>
      <name val="Times New Roman"/>
      <family val="1"/>
    </font>
    <font>
      <sz val="9"/>
      <color indexed="47"/>
      <name val="Arial"/>
      <family val="2"/>
    </font>
    <font>
      <sz val="11"/>
      <name val="Arial"/>
      <family val="2"/>
    </font>
    <font>
      <b/>
      <sz val="12"/>
      <name val="Arial"/>
      <family val="2"/>
    </font>
    <font>
      <b/>
      <sz val="8"/>
      <color indexed="9"/>
      <name val="Arial"/>
      <family val="2"/>
    </font>
    <font>
      <sz val="10"/>
      <color indexed="9"/>
      <name val="Arial"/>
      <family val="2"/>
    </font>
    <font>
      <sz val="10"/>
      <color indexed="9"/>
      <name val="Arial"/>
      <family val="2"/>
    </font>
    <font>
      <b/>
      <sz val="7"/>
      <name val="Arial"/>
      <family val="2"/>
    </font>
    <font>
      <b/>
      <sz val="8"/>
      <name val="Times New Roman"/>
      <family val="1"/>
    </font>
    <font>
      <sz val="9"/>
      <name val="Arial"/>
      <family val="2"/>
    </font>
    <font>
      <sz val="10"/>
      <name val="Lucida Bright"/>
      <family val="1"/>
    </font>
    <font>
      <b/>
      <sz val="10"/>
      <name val="Lucida Bright"/>
      <family val="1"/>
    </font>
    <font>
      <sz val="8"/>
      <name val="Lucida Bright"/>
      <family val="1"/>
    </font>
    <font>
      <b/>
      <sz val="14"/>
      <name val="Lucida Bright"/>
      <family val="1"/>
    </font>
    <font>
      <b/>
      <sz val="12"/>
      <name val="Lucida Bright"/>
      <family val="1"/>
    </font>
    <font>
      <sz val="20"/>
      <color indexed="10"/>
      <name val="Arial"/>
      <family val="2"/>
    </font>
    <font>
      <b/>
      <sz val="10"/>
      <color indexed="9"/>
      <name val="Arial"/>
      <family val="2"/>
    </font>
    <font>
      <sz val="9"/>
      <color indexed="30"/>
      <name val="Arial"/>
      <family val="2"/>
    </font>
    <font>
      <sz val="10"/>
      <color indexed="30"/>
      <name val="Arial"/>
      <family val="2"/>
    </font>
    <font>
      <sz val="10"/>
      <name val="Arial"/>
    </font>
    <font>
      <sz val="10"/>
      <color indexed="8"/>
      <name val="Arial"/>
    </font>
    <font>
      <sz val="7"/>
      <name val="Arial"/>
    </font>
    <font>
      <sz val="7"/>
      <name val="Times New Roman"/>
      <family val="1"/>
    </font>
    <font>
      <sz val="8"/>
      <name val="Arial"/>
    </font>
    <font>
      <b/>
      <sz val="10"/>
      <color indexed="8"/>
      <name val="Arial"/>
    </font>
    <font>
      <sz val="7"/>
      <color indexed="8"/>
      <name val="Arial"/>
    </font>
    <font>
      <sz val="9"/>
      <name val="Arial"/>
    </font>
    <font>
      <b/>
      <sz val="10"/>
      <name val="Arial"/>
    </font>
    <font>
      <sz val="10"/>
      <color indexed="9"/>
      <name val="Arial"/>
    </font>
    <font>
      <sz val="10"/>
      <color indexed="12"/>
      <name val="Arial"/>
    </font>
    <font>
      <b/>
      <u/>
      <sz val="8"/>
      <color indexed="12"/>
      <name val="Arial"/>
      <family val="2"/>
    </font>
    <font>
      <u val="singleAccounting"/>
      <sz val="9"/>
      <name val="Arial"/>
      <family val="2"/>
    </font>
    <font>
      <b/>
      <u/>
      <sz val="9"/>
      <name val="Arial"/>
      <family val="2"/>
    </font>
    <font>
      <b/>
      <sz val="12"/>
      <name val="Arial"/>
    </font>
    <font>
      <b/>
      <sz val="26"/>
      <name val="Arial"/>
      <family val="2"/>
    </font>
    <font>
      <sz val="11"/>
      <color rgb="FF000000"/>
      <name val="Calibri"/>
    </font>
  </fonts>
  <fills count="16">
    <fill>
      <patternFill patternType="none"/>
    </fill>
    <fill>
      <patternFill patternType="gray125"/>
    </fill>
    <fill>
      <patternFill patternType="solid">
        <fgColor indexed="47"/>
        <bgColor indexed="8"/>
      </patternFill>
    </fill>
    <fill>
      <patternFill patternType="solid">
        <fgColor indexed="47"/>
        <bgColor indexed="64"/>
      </patternFill>
    </fill>
    <fill>
      <patternFill patternType="solid">
        <fgColor indexed="9"/>
        <bgColor indexed="64"/>
      </patternFill>
    </fill>
    <fill>
      <patternFill patternType="solid">
        <fgColor indexed="9"/>
        <bgColor indexed="8"/>
      </patternFill>
    </fill>
    <fill>
      <patternFill patternType="solid">
        <fgColor indexed="8"/>
        <bgColor indexed="8"/>
      </patternFill>
    </fill>
    <fill>
      <patternFill patternType="solid">
        <fgColor indexed="8"/>
        <bgColor indexed="64"/>
      </patternFill>
    </fill>
    <fill>
      <patternFill patternType="solid">
        <fgColor indexed="47"/>
        <bgColor indexed="47"/>
      </patternFill>
    </fill>
    <fill>
      <patternFill patternType="solid">
        <fgColor indexed="13"/>
        <bgColor indexed="64"/>
      </patternFill>
    </fill>
    <fill>
      <patternFill patternType="solid">
        <fgColor indexed="13"/>
        <bgColor indexed="8"/>
      </patternFill>
    </fill>
    <fill>
      <patternFill patternType="solid">
        <fgColor indexed="65"/>
        <bgColor indexed="8"/>
      </patternFill>
    </fill>
    <fill>
      <patternFill patternType="solid">
        <fgColor indexed="22"/>
        <bgColor indexed="64"/>
      </patternFill>
    </fill>
    <fill>
      <patternFill patternType="solid">
        <fgColor rgb="FF92D050"/>
        <bgColor rgb="FFFFFF00"/>
      </patternFill>
    </fill>
    <fill>
      <patternFill patternType="solid">
        <fgColor theme="0"/>
        <bgColor indexed="64"/>
      </patternFill>
    </fill>
    <fill>
      <patternFill patternType="solid">
        <fgColor rgb="FF92D050"/>
        <bgColor indexed="64"/>
      </patternFill>
    </fill>
  </fills>
  <borders count="1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medium">
        <color indexed="47"/>
      </right>
      <top style="medium">
        <color indexed="47"/>
      </top>
      <bottom style="medium">
        <color indexed="47"/>
      </bottom>
      <diagonal/>
    </border>
    <border>
      <left/>
      <right/>
      <top style="medium">
        <color indexed="47"/>
      </top>
      <bottom style="medium">
        <color indexed="47"/>
      </bottom>
      <diagonal/>
    </border>
    <border>
      <left style="medium">
        <color indexed="47"/>
      </left>
      <right/>
      <top style="medium">
        <color indexed="47"/>
      </top>
      <bottom style="medium">
        <color indexed="47"/>
      </bottom>
      <diagonal/>
    </border>
    <border>
      <left/>
      <right style="medium">
        <color indexed="47"/>
      </right>
      <top style="medium">
        <color indexed="47"/>
      </top>
      <bottom/>
      <diagonal/>
    </border>
    <border>
      <left style="medium">
        <color indexed="47"/>
      </left>
      <right/>
      <top style="medium">
        <color indexed="47"/>
      </top>
      <bottom/>
      <diagonal/>
    </border>
    <border>
      <left/>
      <right/>
      <top style="medium">
        <color indexed="47"/>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indexed="64"/>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47"/>
      </bottom>
      <diagonal/>
    </border>
  </borders>
  <cellStyleXfs count="8">
    <xf numFmtId="0" fontId="0" fillId="0" borderId="0"/>
    <xf numFmtId="167"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424">
    <xf numFmtId="0" fontId="0" fillId="0" borderId="0" xfId="0"/>
    <xf numFmtId="0" fontId="0" fillId="2" borderId="0" xfId="0" applyFill="1"/>
    <xf numFmtId="0" fontId="2" fillId="2" borderId="0" xfId="0" applyFont="1" applyFill="1"/>
    <xf numFmtId="0" fontId="0" fillId="3" borderId="0" xfId="0" applyFill="1"/>
    <xf numFmtId="0" fontId="3" fillId="2" borderId="0" xfId="0" applyFont="1" applyFill="1"/>
    <xf numFmtId="0" fontId="4" fillId="4" borderId="0" xfId="0" applyFont="1" applyFill="1"/>
    <xf numFmtId="0" fontId="0" fillId="4" borderId="0" xfId="0" applyFill="1"/>
    <xf numFmtId="0" fontId="5" fillId="4" borderId="0" xfId="0" applyFont="1" applyFill="1"/>
    <xf numFmtId="0" fontId="4" fillId="4" borderId="0" xfId="0" applyFont="1" applyFill="1" applyAlignment="1">
      <alignment horizontal="right"/>
    </xf>
    <xf numFmtId="0" fontId="30" fillId="4" borderId="0" xfId="0" applyFont="1" applyFill="1"/>
    <xf numFmtId="0" fontId="30" fillId="4" borderId="0" xfId="0" applyFont="1" applyFill="1" applyAlignment="1">
      <alignment horizontal="right"/>
    </xf>
    <xf numFmtId="0" fontId="30" fillId="4" borderId="0" xfId="0" applyFont="1" applyFill="1" applyAlignment="1">
      <alignment horizontal="left"/>
    </xf>
    <xf numFmtId="0" fontId="30" fillId="4" borderId="0" xfId="0" applyFont="1" applyFill="1" applyAlignment="1">
      <alignment horizontal="center"/>
    </xf>
    <xf numFmtId="0" fontId="29" fillId="4" borderId="0" xfId="0" applyFont="1" applyFill="1"/>
    <xf numFmtId="0" fontId="32" fillId="4" borderId="0" xfId="0" applyFont="1" applyFill="1"/>
    <xf numFmtId="0" fontId="1" fillId="4" borderId="0" xfId="0" applyFont="1" applyFill="1"/>
    <xf numFmtId="0" fontId="29" fillId="4" borderId="0" xfId="0" applyFont="1" applyFill="1" applyAlignment="1">
      <alignment horizontal="right"/>
    </xf>
    <xf numFmtId="0" fontId="1" fillId="4" borderId="1" xfId="0" applyFont="1" applyFill="1" applyBorder="1"/>
    <xf numFmtId="0" fontId="30" fillId="4" borderId="1" xfId="0" applyFont="1" applyFill="1" applyBorder="1"/>
    <xf numFmtId="0" fontId="4" fillId="4" borderId="1" xfId="0" applyFont="1" applyFill="1" applyBorder="1"/>
    <xf numFmtId="0" fontId="0" fillId="4" borderId="0" xfId="0" applyFill="1" applyAlignment="1">
      <alignment horizontal="left"/>
    </xf>
    <xf numFmtId="0" fontId="4" fillId="4" borderId="0" xfId="0" applyFont="1" applyFill="1" applyAlignment="1">
      <alignment horizontal="left"/>
    </xf>
    <xf numFmtId="0" fontId="0" fillId="0" borderId="0" xfId="0" applyAlignment="1">
      <alignment horizontal="left"/>
    </xf>
    <xf numFmtId="49" fontId="30" fillId="4" borderId="0" xfId="0" applyNumberFormat="1" applyFont="1" applyFill="1" applyAlignment="1">
      <alignment horizontal="center"/>
    </xf>
    <xf numFmtId="0" fontId="30" fillId="4" borderId="2" xfId="0" applyFont="1" applyFill="1" applyBorder="1"/>
    <xf numFmtId="0" fontId="30" fillId="4" borderId="3" xfId="0" applyFont="1" applyFill="1" applyBorder="1"/>
    <xf numFmtId="0" fontId="1" fillId="4" borderId="4" xfId="0" applyFont="1" applyFill="1" applyBorder="1"/>
    <xf numFmtId="0" fontId="1" fillId="4" borderId="5" xfId="0" applyFont="1" applyFill="1" applyBorder="1"/>
    <xf numFmtId="0" fontId="1" fillId="4" borderId="6" xfId="0" applyFont="1" applyFill="1" applyBorder="1"/>
    <xf numFmtId="0" fontId="31" fillId="4" borderId="0" xfId="0" applyFont="1" applyFill="1"/>
    <xf numFmtId="0" fontId="33" fillId="4" borderId="0" xfId="0" applyFont="1" applyFill="1"/>
    <xf numFmtId="0" fontId="34" fillId="4" borderId="0" xfId="0" applyFont="1" applyFill="1"/>
    <xf numFmtId="0" fontId="29" fillId="5" borderId="0" xfId="0" applyFont="1" applyFill="1"/>
    <xf numFmtId="0" fontId="30" fillId="5" borderId="0" xfId="0" applyFont="1" applyFill="1"/>
    <xf numFmtId="0" fontId="31" fillId="5" borderId="0" xfId="0" applyFont="1" applyFill="1"/>
    <xf numFmtId="0" fontId="28" fillId="4" borderId="0" xfId="0" applyFont="1" applyFill="1" applyAlignment="1">
      <alignment horizontal="right"/>
    </xf>
    <xf numFmtId="0" fontId="30" fillId="4" borderId="4" xfId="0" applyFont="1" applyFill="1" applyBorder="1"/>
    <xf numFmtId="0" fontId="30" fillId="4" borderId="7" xfId="0" applyFont="1" applyFill="1" applyBorder="1"/>
    <xf numFmtId="0" fontId="30" fillId="4" borderId="8" xfId="0" applyFont="1" applyFill="1" applyBorder="1"/>
    <xf numFmtId="0" fontId="12" fillId="5" borderId="0" xfId="0" applyFont="1" applyFill="1"/>
    <xf numFmtId="0" fontId="11" fillId="5" borderId="0" xfId="0" applyFont="1" applyFill="1"/>
    <xf numFmtId="0" fontId="11" fillId="5" borderId="0" xfId="0" applyFont="1" applyFill="1" applyAlignment="1">
      <alignment horizontal="center"/>
    </xf>
    <xf numFmtId="0" fontId="11" fillId="5" borderId="0" xfId="0" applyFont="1" applyFill="1" applyAlignment="1">
      <alignment horizontal="left"/>
    </xf>
    <xf numFmtId="0" fontId="0" fillId="4" borderId="4" xfId="0" applyFill="1" applyBorder="1"/>
    <xf numFmtId="0" fontId="0" fillId="4" borderId="7" xfId="0" applyFill="1" applyBorder="1"/>
    <xf numFmtId="0" fontId="11" fillId="5" borderId="0" xfId="0" applyFont="1" applyFill="1" applyAlignment="1">
      <alignment horizontal="right"/>
    </xf>
    <xf numFmtId="0" fontId="11" fillId="4" borderId="0" xfId="0" applyFont="1" applyFill="1"/>
    <xf numFmtId="0" fontId="0" fillId="4" borderId="1" xfId="0" applyFill="1" applyBorder="1"/>
    <xf numFmtId="0" fontId="0" fillId="4" borderId="0" xfId="0" applyFill="1" applyAlignment="1">
      <alignment horizontal="center"/>
    </xf>
    <xf numFmtId="0" fontId="2" fillId="4" borderId="1" xfId="0" applyFont="1" applyFill="1" applyBorder="1"/>
    <xf numFmtId="0" fontId="2" fillId="4" borderId="0" xfId="0" applyFont="1" applyFill="1"/>
    <xf numFmtId="0" fontId="2" fillId="4" borderId="9" xfId="0" applyFont="1" applyFill="1" applyBorder="1"/>
    <xf numFmtId="0" fontId="39" fillId="4" borderId="1" xfId="0" applyFont="1" applyFill="1" applyBorder="1" applyAlignment="1">
      <alignment horizontal="center"/>
    </xf>
    <xf numFmtId="0" fontId="2" fillId="4" borderId="0" xfId="0" applyFont="1" applyFill="1" applyAlignment="1">
      <alignment horizontal="left"/>
    </xf>
    <xf numFmtId="0" fontId="39" fillId="4" borderId="0" xfId="0" applyFont="1" applyFill="1" applyAlignment="1">
      <alignment horizontal="center"/>
    </xf>
    <xf numFmtId="0" fontId="2" fillId="4" borderId="0" xfId="0" applyFont="1" applyFill="1" applyAlignment="1">
      <alignment horizontal="right"/>
    </xf>
    <xf numFmtId="0" fontId="3" fillId="4" borderId="0" xfId="0" applyFont="1" applyFill="1"/>
    <xf numFmtId="0" fontId="0" fillId="4" borderId="0" xfId="0" applyFill="1" applyAlignment="1">
      <alignment horizontal="right"/>
    </xf>
    <xf numFmtId="0" fontId="12" fillId="4" borderId="0" xfId="0" applyFont="1" applyFill="1"/>
    <xf numFmtId="2" fontId="2" fillId="4" borderId="0" xfId="0" applyNumberFormat="1" applyFont="1" applyFill="1"/>
    <xf numFmtId="0" fontId="0" fillId="4" borderId="9" xfId="0" applyFill="1" applyBorder="1"/>
    <xf numFmtId="3" fontId="0" fillId="4" borderId="0" xfId="0" applyNumberFormat="1" applyFill="1"/>
    <xf numFmtId="0" fontId="40" fillId="4" borderId="0" xfId="0" applyFont="1" applyFill="1"/>
    <xf numFmtId="0" fontId="10" fillId="4" borderId="0" xfId="0" applyFont="1" applyFill="1"/>
    <xf numFmtId="0" fontId="0" fillId="4" borderId="10" xfId="0" applyFill="1" applyBorder="1"/>
    <xf numFmtId="0" fontId="0" fillId="4" borderId="11" xfId="0" applyFill="1" applyBorder="1"/>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applyAlignment="1">
      <alignment horizontal="center"/>
    </xf>
    <xf numFmtId="0" fontId="0" fillId="4" borderId="19" xfId="0" applyFill="1" applyBorder="1"/>
    <xf numFmtId="0" fontId="0" fillId="4" borderId="20" xfId="0" applyFill="1" applyBorder="1"/>
    <xf numFmtId="0" fontId="0" fillId="4" borderId="21" xfId="0" applyFill="1" applyBorder="1" applyAlignment="1">
      <alignment horizontal="center"/>
    </xf>
    <xf numFmtId="0" fontId="0" fillId="4" borderId="22" xfId="0" applyFill="1" applyBorder="1"/>
    <xf numFmtId="0" fontId="0" fillId="4" borderId="23" xfId="0" applyFill="1" applyBorder="1"/>
    <xf numFmtId="0" fontId="0" fillId="4" borderId="24" xfId="0" applyFill="1" applyBorder="1"/>
    <xf numFmtId="0" fontId="0" fillId="4" borderId="25" xfId="0" applyFill="1" applyBorder="1" applyAlignment="1">
      <alignment horizontal="center"/>
    </xf>
    <xf numFmtId="10" fontId="0" fillId="4" borderId="0" xfId="0" applyNumberFormat="1" applyFill="1"/>
    <xf numFmtId="0" fontId="4" fillId="4" borderId="26" xfId="0" applyFont="1" applyFill="1" applyBorder="1" applyAlignment="1">
      <alignment horizontal="center"/>
    </xf>
    <xf numFmtId="0" fontId="5" fillId="4" borderId="12" xfId="0" applyFont="1" applyFill="1" applyBorder="1" applyAlignment="1">
      <alignment horizontal="center"/>
    </xf>
    <xf numFmtId="10" fontId="4" fillId="4" borderId="27" xfId="0" applyNumberFormat="1" applyFont="1" applyFill="1" applyBorder="1" applyAlignment="1">
      <alignment horizontal="center"/>
    </xf>
    <xf numFmtId="10" fontId="4" fillId="4" borderId="0" xfId="0" applyNumberFormat="1" applyFont="1" applyFill="1" applyAlignment="1">
      <alignment horizontal="center"/>
    </xf>
    <xf numFmtId="10" fontId="3" fillId="4" borderId="0" xfId="0" applyNumberFormat="1" applyFont="1" applyFill="1"/>
    <xf numFmtId="10" fontId="1" fillId="4" borderId="28" xfId="6" applyNumberFormat="1" applyFill="1" applyBorder="1" applyAlignment="1" applyProtection="1">
      <alignment horizontal="center"/>
    </xf>
    <xf numFmtId="10" fontId="1" fillId="4" borderId="21" xfId="6" applyNumberFormat="1" applyFill="1" applyBorder="1" applyAlignment="1" applyProtection="1">
      <alignment horizontal="center"/>
    </xf>
    <xf numFmtId="10" fontId="1" fillId="4" borderId="25" xfId="6" applyNumberFormat="1" applyFill="1" applyBorder="1" applyAlignment="1" applyProtection="1">
      <alignment horizontal="center"/>
    </xf>
    <xf numFmtId="10" fontId="3" fillId="3" borderId="18" xfId="0" applyNumberFormat="1" applyFont="1" applyFill="1" applyBorder="1" applyAlignment="1" applyProtection="1">
      <alignment horizontal="center"/>
      <protection locked="0"/>
    </xf>
    <xf numFmtId="10" fontId="3" fillId="3" borderId="21" xfId="0" applyNumberFormat="1"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xf numFmtId="0" fontId="3" fillId="3" borderId="30"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3" fillId="3" borderId="32" xfId="0" applyFont="1" applyFill="1" applyBorder="1" applyAlignment="1" applyProtection="1">
      <alignment horizontal="center"/>
      <protection locked="0"/>
    </xf>
    <xf numFmtId="0" fontId="0" fillId="4" borderId="33" xfId="0" applyFill="1" applyBorder="1"/>
    <xf numFmtId="0" fontId="0" fillId="4" borderId="2" xfId="0" applyFill="1" applyBorder="1"/>
    <xf numFmtId="0" fontId="0" fillId="4" borderId="3" xfId="0" applyFill="1" applyBorder="1"/>
    <xf numFmtId="0" fontId="0" fillId="4" borderId="34" xfId="0" applyFill="1" applyBorder="1" applyAlignment="1">
      <alignment horizontal="center"/>
    </xf>
    <xf numFmtId="10" fontId="3" fillId="3" borderId="34" xfId="0" applyNumberFormat="1" applyFont="1" applyFill="1" applyBorder="1" applyAlignment="1" applyProtection="1">
      <alignment horizontal="center"/>
      <protection locked="0"/>
    </xf>
    <xf numFmtId="10" fontId="1" fillId="4" borderId="34" xfId="6" applyNumberFormat="1" applyFill="1" applyBorder="1" applyAlignment="1" applyProtection="1">
      <alignment horizontal="center"/>
    </xf>
    <xf numFmtId="0" fontId="3" fillId="3" borderId="35" xfId="0" applyFont="1" applyFill="1" applyBorder="1" applyAlignment="1" applyProtection="1">
      <alignment horizontal="center"/>
      <protection locked="0"/>
    </xf>
    <xf numFmtId="0" fontId="0" fillId="4" borderId="8" xfId="0" applyFill="1" applyBorder="1"/>
    <xf numFmtId="0" fontId="0" fillId="4" borderId="36" xfId="0" applyFill="1" applyBorder="1" applyAlignment="1">
      <alignment horizontal="center"/>
    </xf>
    <xf numFmtId="10" fontId="3" fillId="3" borderId="36" xfId="0" applyNumberFormat="1" applyFont="1" applyFill="1" applyBorder="1" applyAlignment="1" applyProtection="1">
      <alignment horizontal="center"/>
      <protection locked="0"/>
    </xf>
    <xf numFmtId="10" fontId="1" fillId="4" borderId="36" xfId="6" applyNumberFormat="1" applyFill="1" applyBorder="1" applyAlignment="1" applyProtection="1">
      <alignment horizontal="center"/>
    </xf>
    <xf numFmtId="0" fontId="3" fillId="3" borderId="37" xfId="0" applyFont="1" applyFill="1" applyBorder="1" applyAlignment="1" applyProtection="1">
      <alignment horizontal="center"/>
      <protection locked="0"/>
    </xf>
    <xf numFmtId="0" fontId="0" fillId="4" borderId="38" xfId="0" applyFill="1" applyBorder="1" applyAlignment="1">
      <alignment horizontal="center"/>
    </xf>
    <xf numFmtId="0" fontId="0" fillId="4" borderId="9" xfId="0" applyFill="1" applyBorder="1" applyAlignment="1">
      <alignment horizontal="center"/>
    </xf>
    <xf numFmtId="0" fontId="0" fillId="4" borderId="39" xfId="0" applyFill="1" applyBorder="1"/>
    <xf numFmtId="1" fontId="30" fillId="4" borderId="0" xfId="0" applyNumberFormat="1" applyFont="1" applyFill="1" applyAlignment="1">
      <alignment horizontal="left"/>
    </xf>
    <xf numFmtId="170" fontId="30" fillId="4" borderId="0" xfId="0" applyNumberFormat="1" applyFont="1" applyFill="1" applyAlignment="1">
      <alignment horizontal="center"/>
    </xf>
    <xf numFmtId="0" fontId="30" fillId="0" borderId="0" xfId="0" applyFont="1"/>
    <xf numFmtId="0" fontId="2" fillId="4" borderId="1" xfId="0" applyFont="1" applyFill="1" applyBorder="1" applyAlignment="1">
      <alignment horizontal="center"/>
    </xf>
    <xf numFmtId="177" fontId="29" fillId="4" borderId="0" xfId="0" applyNumberFormat="1" applyFont="1" applyFill="1"/>
    <xf numFmtId="177" fontId="29" fillId="4" borderId="7" xfId="0" applyNumberFormat="1" applyFont="1" applyFill="1" applyBorder="1" applyAlignment="1">
      <alignment horizontal="right" shrinkToFit="1"/>
    </xf>
    <xf numFmtId="0" fontId="5" fillId="4" borderId="21" xfId="0" applyFont="1" applyFill="1" applyBorder="1" applyAlignment="1">
      <alignment horizontal="center"/>
    </xf>
    <xf numFmtId="0" fontId="11" fillId="5" borderId="40" xfId="0" applyFont="1" applyFill="1" applyBorder="1" applyAlignment="1">
      <alignment horizontal="center"/>
    </xf>
    <xf numFmtId="0" fontId="36" fillId="4" borderId="41" xfId="0" applyFont="1" applyFill="1" applyBorder="1"/>
    <xf numFmtId="0" fontId="36" fillId="5" borderId="41" xfId="0" applyFont="1" applyFill="1" applyBorder="1"/>
    <xf numFmtId="49" fontId="11" fillId="5" borderId="41" xfId="0" applyNumberFormat="1" applyFont="1" applyFill="1" applyBorder="1" applyAlignment="1" applyProtection="1">
      <alignment horizontal="left"/>
      <protection locked="0"/>
    </xf>
    <xf numFmtId="0" fontId="11" fillId="4" borderId="9" xfId="0" applyFont="1" applyFill="1" applyBorder="1"/>
    <xf numFmtId="0" fontId="11" fillId="4" borderId="41" xfId="0" applyFont="1" applyFill="1" applyBorder="1" applyAlignment="1">
      <alignment horizontal="left"/>
    </xf>
    <xf numFmtId="0" fontId="0" fillId="0" borderId="9" xfId="0" applyBorder="1"/>
    <xf numFmtId="0" fontId="3" fillId="0" borderId="27" xfId="0" applyFont="1" applyBorder="1" applyAlignment="1" applyProtection="1">
      <alignment horizontal="center"/>
      <protection locked="0"/>
    </xf>
    <xf numFmtId="0" fontId="11" fillId="4" borderId="7" xfId="0" applyFont="1" applyFill="1" applyBorder="1"/>
    <xf numFmtId="0" fontId="11" fillId="5" borderId="20" xfId="0" applyFont="1" applyFill="1" applyBorder="1" applyProtection="1">
      <protection locked="0"/>
    </xf>
    <xf numFmtId="14" fontId="12" fillId="5" borderId="21" xfId="0" applyNumberFormat="1" applyFont="1" applyFill="1" applyBorder="1" applyAlignment="1" applyProtection="1">
      <alignment horizontal="left"/>
      <protection locked="0"/>
    </xf>
    <xf numFmtId="0" fontId="12" fillId="5" borderId="21" xfId="0" applyFont="1" applyFill="1" applyBorder="1" applyAlignment="1" applyProtection="1">
      <alignment horizontal="left"/>
      <protection locked="0"/>
    </xf>
    <xf numFmtId="168" fontId="12" fillId="5" borderId="41" xfId="2" applyNumberFormat="1" applyFont="1" applyFill="1" applyBorder="1" applyAlignment="1" applyProtection="1">
      <alignment horizontal="center"/>
      <protection locked="0"/>
    </xf>
    <xf numFmtId="0" fontId="11" fillId="4" borderId="20" xfId="0" applyFont="1" applyFill="1" applyBorder="1"/>
    <xf numFmtId="0" fontId="11" fillId="0" borderId="7" xfId="0" applyFont="1" applyBorder="1"/>
    <xf numFmtId="0" fontId="12" fillId="5" borderId="40" xfId="0" applyFont="1" applyFill="1" applyBorder="1" applyAlignment="1">
      <alignment horizontal="center"/>
    </xf>
    <xf numFmtId="0" fontId="11" fillId="4" borderId="8" xfId="0" applyFont="1" applyFill="1" applyBorder="1"/>
    <xf numFmtId="172" fontId="11" fillId="5" borderId="0" xfId="0" applyNumberFormat="1" applyFont="1" applyFill="1" applyAlignment="1">
      <alignment horizontal="center"/>
    </xf>
    <xf numFmtId="9" fontId="3" fillId="5" borderId="0" xfId="0" applyNumberFormat="1" applyFont="1" applyFill="1" applyAlignment="1">
      <alignment horizontal="left"/>
    </xf>
    <xf numFmtId="168" fontId="11" fillId="5" borderId="0" xfId="3" applyNumberFormat="1" applyFont="1" applyFill="1" applyBorder="1" applyAlignment="1" applyProtection="1">
      <alignment horizontal="left"/>
    </xf>
    <xf numFmtId="0" fontId="0" fillId="5" borderId="0" xfId="0" applyFill="1"/>
    <xf numFmtId="168" fontId="11" fillId="4" borderId="0" xfId="0" applyNumberFormat="1" applyFont="1" applyFill="1" applyAlignment="1">
      <alignment horizontal="left"/>
    </xf>
    <xf numFmtId="0" fontId="11" fillId="4" borderId="0" xfId="0" applyFont="1" applyFill="1" applyAlignment="1">
      <alignment horizontal="center"/>
    </xf>
    <xf numFmtId="168" fontId="11" fillId="5" borderId="0" xfId="0" applyNumberFormat="1" applyFont="1" applyFill="1" applyAlignment="1">
      <alignment horizontal="left"/>
    </xf>
    <xf numFmtId="168" fontId="11" fillId="5" borderId="0" xfId="1" applyNumberFormat="1" applyFont="1" applyFill="1" applyBorder="1" applyAlignment="1" applyProtection="1">
      <alignment horizontal="left"/>
    </xf>
    <xf numFmtId="10" fontId="11" fillId="5" borderId="0" xfId="6" applyNumberFormat="1" applyFont="1" applyFill="1" applyBorder="1" applyAlignment="1" applyProtection="1">
      <alignment horizontal="center"/>
    </xf>
    <xf numFmtId="0" fontId="51" fillId="4" borderId="0" xfId="0" applyFont="1" applyFill="1"/>
    <xf numFmtId="0" fontId="52" fillId="4" borderId="0" xfId="0" applyFont="1" applyFill="1"/>
    <xf numFmtId="14" fontId="51" fillId="4" borderId="0" xfId="0" applyNumberFormat="1" applyFont="1" applyFill="1" applyAlignment="1" applyProtection="1">
      <alignment horizontal="left"/>
      <protection locked="0"/>
    </xf>
    <xf numFmtId="0" fontId="51" fillId="4" borderId="0" xfId="0" applyFont="1" applyFill="1" applyAlignment="1">
      <alignment horizontal="center"/>
    </xf>
    <xf numFmtId="0" fontId="51" fillId="4" borderId="0" xfId="0" applyFont="1" applyFill="1" applyAlignment="1">
      <alignment horizontal="left"/>
    </xf>
    <xf numFmtId="0" fontId="20" fillId="4" borderId="0" xfId="0" applyFont="1" applyFill="1" applyAlignment="1">
      <alignment horizontal="right"/>
    </xf>
    <xf numFmtId="164" fontId="20" fillId="4" borderId="0" xfId="0" applyNumberFormat="1" applyFont="1" applyFill="1"/>
    <xf numFmtId="0" fontId="18" fillId="4" borderId="0" xfId="0" applyFont="1" applyFill="1"/>
    <xf numFmtId="0" fontId="9" fillId="4" borderId="0" xfId="0" applyFont="1" applyFill="1"/>
    <xf numFmtId="0" fontId="51" fillId="4" borderId="9" xfId="0" applyFont="1" applyFill="1" applyBorder="1"/>
    <xf numFmtId="49" fontId="11" fillId="5" borderId="0" xfId="0" applyNumberFormat="1" applyFont="1" applyFill="1" applyAlignment="1">
      <alignment horizontal="left"/>
    </xf>
    <xf numFmtId="0" fontId="36" fillId="4" borderId="9" xfId="0" applyFont="1" applyFill="1" applyBorder="1"/>
    <xf numFmtId="0" fontId="12" fillId="5" borderId="0" xfId="0" applyFont="1" applyFill="1" applyAlignment="1">
      <alignment horizontal="left"/>
    </xf>
    <xf numFmtId="14" fontId="12" fillId="5" borderId="0" xfId="0" applyNumberFormat="1" applyFont="1" applyFill="1" applyAlignment="1">
      <alignment horizontal="left"/>
    </xf>
    <xf numFmtId="168" fontId="12" fillId="5" borderId="0" xfId="2" applyNumberFormat="1" applyFont="1" applyFill="1" applyBorder="1" applyAlignment="1" applyProtection="1">
      <alignment horizontal="center"/>
    </xf>
    <xf numFmtId="14" fontId="12" fillId="5" borderId="0" xfId="0" applyNumberFormat="1" applyFont="1" applyFill="1" applyAlignment="1">
      <alignment horizontal="center"/>
    </xf>
    <xf numFmtId="0" fontId="12" fillId="5" borderId="0" xfId="0" applyFont="1" applyFill="1" applyAlignment="1">
      <alignment horizontal="center"/>
    </xf>
    <xf numFmtId="49" fontId="4" fillId="5" borderId="0" xfId="0" applyNumberFormat="1" applyFont="1" applyFill="1" applyAlignment="1">
      <alignment horizontal="left"/>
    </xf>
    <xf numFmtId="168" fontId="12" fillId="5" borderId="0" xfId="2" applyNumberFormat="1" applyFont="1" applyFill="1" applyBorder="1" applyAlignment="1" applyProtection="1"/>
    <xf numFmtId="0" fontId="3" fillId="4" borderId="6" xfId="0" applyFont="1" applyFill="1" applyBorder="1"/>
    <xf numFmtId="10" fontId="12" fillId="4" borderId="2" xfId="6" applyNumberFormat="1" applyFont="1" applyFill="1" applyBorder="1" applyAlignment="1" applyProtection="1"/>
    <xf numFmtId="10" fontId="12" fillId="4" borderId="3" xfId="6" applyNumberFormat="1" applyFont="1" applyFill="1" applyBorder="1" applyAlignment="1" applyProtection="1"/>
    <xf numFmtId="0" fontId="51" fillId="4" borderId="4" xfId="0" applyFont="1" applyFill="1" applyBorder="1"/>
    <xf numFmtId="0" fontId="51" fillId="4" borderId="7" xfId="0" applyFont="1" applyFill="1" applyBorder="1"/>
    <xf numFmtId="0" fontId="0" fillId="4" borderId="5" xfId="0" applyFill="1" applyBorder="1"/>
    <xf numFmtId="0" fontId="20" fillId="4" borderId="0" xfId="0" applyFont="1" applyFill="1"/>
    <xf numFmtId="0" fontId="51" fillId="4" borderId="0" xfId="0" applyFont="1" applyFill="1" applyAlignment="1">
      <alignment horizontal="right"/>
    </xf>
    <xf numFmtId="0" fontId="3" fillId="4" borderId="41" xfId="0" applyFont="1" applyFill="1" applyBorder="1"/>
    <xf numFmtId="0" fontId="20" fillId="4" borderId="0" xfId="0" applyFont="1" applyFill="1" applyAlignment="1">
      <alignment horizontal="left"/>
    </xf>
    <xf numFmtId="0" fontId="11" fillId="5" borderId="9" xfId="0" applyFont="1" applyFill="1" applyBorder="1"/>
    <xf numFmtId="168" fontId="11" fillId="5" borderId="9" xfId="0" applyNumberFormat="1" applyFont="1" applyFill="1" applyBorder="1" applyAlignment="1">
      <alignment horizontal="left"/>
    </xf>
    <xf numFmtId="0" fontId="51" fillId="4" borderId="20" xfId="0" applyFont="1" applyFill="1" applyBorder="1"/>
    <xf numFmtId="10" fontId="11" fillId="0" borderId="21" xfId="0" applyNumberFormat="1" applyFont="1" applyBorder="1" applyAlignment="1">
      <alignment horizontal="right"/>
    </xf>
    <xf numFmtId="10" fontId="11" fillId="4" borderId="41" xfId="0" applyNumberFormat="1" applyFont="1" applyFill="1" applyBorder="1" applyAlignment="1">
      <alignment horizontal="right"/>
    </xf>
    <xf numFmtId="10" fontId="11" fillId="4" borderId="20" xfId="0" applyNumberFormat="1" applyFont="1" applyFill="1" applyBorder="1" applyAlignment="1">
      <alignment horizontal="right"/>
    </xf>
    <xf numFmtId="176" fontId="30" fillId="4" borderId="0" xfId="0" applyNumberFormat="1" applyFont="1" applyFill="1"/>
    <xf numFmtId="176" fontId="29" fillId="4" borderId="0" xfId="0" applyNumberFormat="1" applyFont="1" applyFill="1" applyAlignment="1">
      <alignment horizontal="center"/>
    </xf>
    <xf numFmtId="176" fontId="30" fillId="4" borderId="0" xfId="0" applyNumberFormat="1" applyFont="1" applyFill="1" applyAlignment="1">
      <alignment horizontal="left"/>
    </xf>
    <xf numFmtId="176" fontId="0" fillId="4" borderId="0" xfId="0" applyNumberFormat="1" applyFill="1"/>
    <xf numFmtId="176" fontId="4" fillId="4" borderId="0" xfId="0" applyNumberFormat="1" applyFont="1" applyFill="1"/>
    <xf numFmtId="176" fontId="0" fillId="0" borderId="0" xfId="0" applyNumberFormat="1"/>
    <xf numFmtId="176" fontId="4" fillId="4" borderId="0" xfId="0" applyNumberFormat="1" applyFont="1" applyFill="1" applyAlignment="1">
      <alignment shrinkToFit="1"/>
    </xf>
    <xf numFmtId="176" fontId="4" fillId="4" borderId="0" xfId="0" applyNumberFormat="1" applyFont="1" applyFill="1" applyAlignment="1">
      <alignment horizontal="center"/>
    </xf>
    <xf numFmtId="176" fontId="2" fillId="4" borderId="0" xfId="0" applyNumberFormat="1" applyFont="1" applyFill="1"/>
    <xf numFmtId="176" fontId="2" fillId="4" borderId="0" xfId="0" applyNumberFormat="1" applyFont="1" applyFill="1" applyAlignment="1">
      <alignment horizontal="center"/>
    </xf>
    <xf numFmtId="175" fontId="2" fillId="4" borderId="1" xfId="0" applyNumberFormat="1" applyFont="1" applyFill="1" applyBorder="1"/>
    <xf numFmtId="175" fontId="2" fillId="4" borderId="1" xfId="0" applyNumberFormat="1" applyFont="1" applyFill="1" applyBorder="1" applyAlignment="1">
      <alignment shrinkToFit="1"/>
    </xf>
    <xf numFmtId="175" fontId="2" fillId="4" borderId="0" xfId="0" applyNumberFormat="1" applyFont="1" applyFill="1" applyAlignment="1">
      <alignment shrinkToFit="1"/>
    </xf>
    <xf numFmtId="175" fontId="2" fillId="4" borderId="21" xfId="0" applyNumberFormat="1" applyFont="1" applyFill="1" applyBorder="1" applyAlignment="1">
      <alignment shrinkToFit="1"/>
    </xf>
    <xf numFmtId="175" fontId="2" fillId="4" borderId="0" xfId="0" applyNumberFormat="1" applyFont="1" applyFill="1"/>
    <xf numFmtId="175" fontId="2" fillId="4" borderId="9" xfId="0" applyNumberFormat="1" applyFont="1" applyFill="1" applyBorder="1" applyAlignment="1">
      <alignment shrinkToFit="1"/>
    </xf>
    <xf numFmtId="176" fontId="11" fillId="4" borderId="21" xfId="0" applyNumberFormat="1" applyFont="1" applyFill="1" applyBorder="1" applyAlignment="1">
      <alignment horizontal="right"/>
    </xf>
    <xf numFmtId="0" fontId="11" fillId="4" borderId="19" xfId="0" applyFont="1" applyFill="1" applyBorder="1"/>
    <xf numFmtId="0" fontId="11" fillId="4" borderId="42" xfId="0" applyFont="1" applyFill="1" applyBorder="1"/>
    <xf numFmtId="0" fontId="11" fillId="4" borderId="15" xfId="0" applyFont="1" applyFill="1" applyBorder="1"/>
    <xf numFmtId="0" fontId="0" fillId="0" borderId="43" xfId="0" applyBorder="1"/>
    <xf numFmtId="0" fontId="11" fillId="4" borderId="25" xfId="0" applyFont="1" applyFill="1" applyBorder="1" applyAlignment="1">
      <alignment horizontal="center"/>
    </xf>
    <xf numFmtId="176" fontId="11" fillId="4" borderId="25" xfId="0" applyNumberFormat="1" applyFont="1" applyFill="1" applyBorder="1" applyAlignment="1" applyProtection="1">
      <alignment horizontal="center"/>
      <protection locked="0"/>
    </xf>
    <xf numFmtId="0" fontId="2" fillId="4" borderId="2" xfId="0" applyFont="1" applyFill="1" applyBorder="1"/>
    <xf numFmtId="10" fontId="2" fillId="4" borderId="2" xfId="0" applyNumberFormat="1" applyFont="1" applyFill="1" applyBorder="1"/>
    <xf numFmtId="176" fontId="51" fillId="4" borderId="0" xfId="0" applyNumberFormat="1" applyFont="1" applyFill="1" applyAlignment="1">
      <alignment horizontal="center"/>
    </xf>
    <xf numFmtId="175" fontId="0" fillId="4" borderId="0" xfId="0" applyNumberFormat="1" applyFill="1"/>
    <xf numFmtId="175" fontId="0" fillId="0" borderId="0" xfId="0" applyNumberFormat="1"/>
    <xf numFmtId="0" fontId="20" fillId="4" borderId="0" xfId="0" applyFont="1" applyFill="1" applyAlignment="1">
      <alignment horizontal="center"/>
    </xf>
    <xf numFmtId="2" fontId="12" fillId="4" borderId="41" xfId="0" applyNumberFormat="1" applyFont="1" applyFill="1" applyBorder="1" applyAlignment="1">
      <alignment horizontal="center" shrinkToFit="1"/>
    </xf>
    <xf numFmtId="2" fontId="56" fillId="4" borderId="20" xfId="0" applyNumberFormat="1" applyFont="1" applyFill="1" applyBorder="1" applyAlignment="1">
      <alignment horizontal="center" shrinkToFit="1"/>
    </xf>
    <xf numFmtId="2" fontId="56" fillId="4" borderId="21" xfId="0" applyNumberFormat="1" applyFont="1" applyFill="1" applyBorder="1" applyAlignment="1">
      <alignment horizontal="center" shrinkToFit="1"/>
    </xf>
    <xf numFmtId="176" fontId="57" fillId="4" borderId="0" xfId="0" applyNumberFormat="1" applyFont="1" applyFill="1" applyAlignment="1">
      <alignment horizontal="center"/>
    </xf>
    <xf numFmtId="176" fontId="57" fillId="4" borderId="0" xfId="0" applyNumberFormat="1" applyFont="1" applyFill="1" applyAlignment="1">
      <alignment horizontal="left"/>
    </xf>
    <xf numFmtId="49" fontId="2" fillId="4" borderId="0" xfId="0" applyNumberFormat="1" applyFont="1" applyFill="1" applyAlignment="1">
      <alignment horizontal="center" shrinkToFit="1"/>
    </xf>
    <xf numFmtId="177" fontId="30" fillId="4" borderId="0" xfId="0" applyNumberFormat="1" applyFont="1" applyFill="1"/>
    <xf numFmtId="0" fontId="1" fillId="4" borderId="7" xfId="0" applyFont="1" applyFill="1" applyBorder="1"/>
    <xf numFmtId="49" fontId="0" fillId="0" borderId="0" xfId="0" applyNumberFormat="1"/>
    <xf numFmtId="10" fontId="3" fillId="3" borderId="44" xfId="0" applyNumberFormat="1" applyFont="1" applyFill="1" applyBorder="1" applyAlignment="1" applyProtection="1">
      <alignment horizontal="center"/>
      <protection locked="0"/>
    </xf>
    <xf numFmtId="168" fontId="12" fillId="5" borderId="20" xfId="2" applyNumberFormat="1" applyFont="1" applyFill="1" applyBorder="1" applyAlignment="1" applyProtection="1">
      <alignment horizontal="center"/>
    </xf>
    <xf numFmtId="49" fontId="11" fillId="5" borderId="41" xfId="0" applyNumberFormat="1" applyFont="1" applyFill="1" applyBorder="1" applyAlignment="1">
      <alignment horizontal="left"/>
    </xf>
    <xf numFmtId="14" fontId="12" fillId="5" borderId="21" xfId="0" applyNumberFormat="1" applyFont="1" applyFill="1" applyBorder="1" applyAlignment="1">
      <alignment horizontal="center"/>
    </xf>
    <xf numFmtId="0" fontId="12" fillId="5" borderId="21" xfId="0" applyFont="1" applyFill="1" applyBorder="1" applyAlignment="1">
      <alignment horizontal="center"/>
    </xf>
    <xf numFmtId="0" fontId="0" fillId="0" borderId="0" xfId="0" applyAlignment="1">
      <alignment wrapText="1"/>
    </xf>
    <xf numFmtId="0" fontId="0" fillId="4" borderId="0" xfId="0" applyFill="1" applyAlignment="1">
      <alignment horizontal="left" wrapText="1"/>
    </xf>
    <xf numFmtId="0" fontId="0" fillId="4" borderId="0" xfId="0" applyFill="1" applyAlignment="1">
      <alignment wrapText="1"/>
    </xf>
    <xf numFmtId="176" fontId="3" fillId="4" borderId="0" xfId="0" applyNumberFormat="1" applyFont="1" applyFill="1"/>
    <xf numFmtId="0" fontId="58" fillId="4" borderId="0" xfId="0" applyFont="1" applyFill="1" applyAlignment="1">
      <alignment horizontal="left"/>
    </xf>
    <xf numFmtId="0" fontId="0" fillId="3" borderId="0" xfId="0" applyFill="1" applyProtection="1">
      <protection hidden="1"/>
    </xf>
    <xf numFmtId="0" fontId="0" fillId="3" borderId="10" xfId="0" applyFill="1" applyBorder="1" applyProtection="1">
      <protection hidden="1"/>
    </xf>
    <xf numFmtId="0" fontId="0" fillId="3" borderId="11" xfId="0" applyFill="1" applyBorder="1" applyProtection="1">
      <protection hidden="1"/>
    </xf>
    <xf numFmtId="0" fontId="3" fillId="2" borderId="11" xfId="0" applyFont="1" applyFill="1" applyBorder="1" applyProtection="1">
      <protection hidden="1"/>
    </xf>
    <xf numFmtId="0" fontId="5" fillId="2" borderId="11" xfId="0" applyFont="1" applyFill="1" applyBorder="1" applyProtection="1">
      <protection hidden="1"/>
    </xf>
    <xf numFmtId="0" fontId="0" fillId="2" borderId="11" xfId="0" applyFill="1" applyBorder="1" applyProtection="1">
      <protection hidden="1"/>
    </xf>
    <xf numFmtId="0" fontId="0" fillId="2" borderId="0" xfId="0" applyFill="1" applyProtection="1">
      <protection hidden="1"/>
    </xf>
    <xf numFmtId="0" fontId="0" fillId="0" borderId="0" xfId="0" applyProtection="1">
      <protection hidden="1"/>
    </xf>
    <xf numFmtId="0" fontId="6" fillId="6" borderId="0" xfId="0" applyFont="1" applyFill="1" applyAlignment="1" applyProtection="1">
      <alignment horizontal="center"/>
      <protection hidden="1"/>
    </xf>
    <xf numFmtId="0" fontId="7" fillId="6" borderId="0" xfId="0" applyFont="1" applyFill="1" applyProtection="1">
      <protection hidden="1"/>
    </xf>
    <xf numFmtId="0" fontId="0" fillId="7" borderId="0" xfId="0" applyFill="1" applyProtection="1">
      <protection hidden="1"/>
    </xf>
    <xf numFmtId="0" fontId="5" fillId="6" borderId="0" xfId="0" applyFont="1" applyFill="1" applyProtection="1">
      <protection hidden="1"/>
    </xf>
    <xf numFmtId="0" fontId="0" fillId="6" borderId="0" xfId="0" applyFill="1" applyProtection="1">
      <protection hidden="1"/>
    </xf>
    <xf numFmtId="0" fontId="4" fillId="7" borderId="0" xfId="0" applyFont="1" applyFill="1" applyProtection="1">
      <protection hidden="1"/>
    </xf>
    <xf numFmtId="0" fontId="0" fillId="2" borderId="45" xfId="0" applyFill="1" applyBorder="1" applyProtection="1">
      <protection hidden="1"/>
    </xf>
    <xf numFmtId="0" fontId="0" fillId="3" borderId="46" xfId="0" applyFill="1" applyBorder="1" applyProtection="1">
      <protection hidden="1"/>
    </xf>
    <xf numFmtId="0" fontId="8" fillId="2" borderId="46" xfId="0" applyFont="1" applyFill="1" applyBorder="1" applyAlignment="1" applyProtection="1">
      <alignment horizontal="right"/>
      <protection hidden="1"/>
    </xf>
    <xf numFmtId="0" fontId="4" fillId="2" borderId="47" xfId="0" applyFont="1" applyFill="1" applyBorder="1" applyProtection="1">
      <protection hidden="1"/>
    </xf>
    <xf numFmtId="0" fontId="0" fillId="2" borderId="39" xfId="0" applyFill="1" applyBorder="1" applyProtection="1">
      <protection hidden="1"/>
    </xf>
    <xf numFmtId="0" fontId="8" fillId="2" borderId="0" xfId="0" applyFont="1" applyFill="1" applyAlignment="1" applyProtection="1">
      <alignment horizontal="right"/>
      <protection hidden="1"/>
    </xf>
    <xf numFmtId="0" fontId="0" fillId="2" borderId="48" xfId="0" applyFill="1" applyBorder="1" applyProtection="1">
      <protection hidden="1"/>
    </xf>
    <xf numFmtId="0" fontId="3" fillId="2" borderId="39" xfId="0" applyFont="1" applyFill="1" applyBorder="1" applyProtection="1">
      <protection hidden="1"/>
    </xf>
    <xf numFmtId="0" fontId="0" fillId="3" borderId="48" xfId="0" applyFill="1" applyBorder="1" applyProtection="1">
      <protection hidden="1"/>
    </xf>
    <xf numFmtId="0" fontId="4" fillId="6" borderId="0" xfId="0" applyFont="1" applyFill="1" applyProtection="1">
      <protection hidden="1"/>
    </xf>
    <xf numFmtId="0" fontId="10" fillId="3" borderId="0" xfId="0" applyFont="1" applyFill="1" applyProtection="1">
      <protection hidden="1"/>
    </xf>
    <xf numFmtId="0" fontId="11" fillId="2" borderId="0" xfId="0" applyFont="1" applyFill="1" applyAlignment="1" applyProtection="1">
      <alignment horizontal="right"/>
      <protection hidden="1"/>
    </xf>
    <xf numFmtId="0" fontId="4" fillId="2" borderId="48" xfId="0" applyFont="1" applyFill="1" applyBorder="1" applyProtection="1">
      <protection hidden="1"/>
    </xf>
    <xf numFmtId="0" fontId="11" fillId="2" borderId="22" xfId="0" applyFont="1" applyFill="1" applyBorder="1" applyProtection="1">
      <protection hidden="1"/>
    </xf>
    <xf numFmtId="168" fontId="5" fillId="2" borderId="49" xfId="0" applyNumberFormat="1" applyFont="1" applyFill="1" applyBorder="1" applyProtection="1">
      <protection hidden="1"/>
    </xf>
    <xf numFmtId="168" fontId="13" fillId="2" borderId="49" xfId="0" applyNumberFormat="1" applyFont="1" applyFill="1" applyBorder="1" applyAlignment="1" applyProtection="1">
      <alignment horizontal="right"/>
      <protection hidden="1"/>
    </xf>
    <xf numFmtId="0" fontId="14" fillId="2" borderId="0" xfId="0" applyFont="1" applyFill="1" applyProtection="1">
      <protection hidden="1"/>
    </xf>
    <xf numFmtId="0" fontId="11" fillId="2" borderId="48" xfId="0" applyFont="1" applyFill="1" applyBorder="1" applyProtection="1">
      <protection hidden="1"/>
    </xf>
    <xf numFmtId="0" fontId="11" fillId="2" borderId="39" xfId="0" applyFont="1" applyFill="1" applyBorder="1" applyProtection="1">
      <protection hidden="1"/>
    </xf>
    <xf numFmtId="168" fontId="5" fillId="2" borderId="48" xfId="0" applyNumberFormat="1" applyFont="1" applyFill="1" applyBorder="1" applyProtection="1">
      <protection hidden="1"/>
    </xf>
    <xf numFmtId="0" fontId="3" fillId="2" borderId="41" xfId="0" applyFont="1" applyFill="1" applyBorder="1" applyProtection="1">
      <protection hidden="1"/>
    </xf>
    <xf numFmtId="0" fontId="0" fillId="2" borderId="20" xfId="0" applyFill="1" applyBorder="1" applyProtection="1">
      <protection hidden="1"/>
    </xf>
    <xf numFmtId="0" fontId="0" fillId="2" borderId="23" xfId="0" applyFill="1" applyBorder="1" applyProtection="1">
      <protection hidden="1"/>
    </xf>
    <xf numFmtId="0" fontId="0" fillId="3" borderId="24" xfId="0" applyFill="1" applyBorder="1" applyProtection="1">
      <protection hidden="1"/>
    </xf>
    <xf numFmtId="0" fontId="11" fillId="2" borderId="24" xfId="0" applyFont="1" applyFill="1" applyBorder="1" applyAlignment="1" applyProtection="1">
      <alignment horizontal="right"/>
      <protection hidden="1"/>
    </xf>
    <xf numFmtId="0" fontId="11" fillId="2" borderId="50" xfId="0" applyFont="1" applyFill="1" applyBorder="1" applyProtection="1">
      <protection hidden="1"/>
    </xf>
    <xf numFmtId="0" fontId="11" fillId="2" borderId="46" xfId="0" applyFont="1" applyFill="1" applyBorder="1" applyAlignment="1" applyProtection="1">
      <alignment horizontal="right"/>
      <protection hidden="1"/>
    </xf>
    <xf numFmtId="0" fontId="11" fillId="2" borderId="47" xfId="0" applyFont="1" applyFill="1" applyBorder="1" applyProtection="1">
      <protection hidden="1"/>
    </xf>
    <xf numFmtId="168" fontId="12" fillId="2" borderId="49" xfId="0" applyNumberFormat="1" applyFont="1" applyFill="1" applyBorder="1" applyAlignment="1" applyProtection="1">
      <alignment horizontal="right"/>
      <protection hidden="1"/>
    </xf>
    <xf numFmtId="2" fontId="14" fillId="3" borderId="0" xfId="0" applyNumberFormat="1" applyFont="1" applyFill="1" applyProtection="1">
      <protection hidden="1"/>
    </xf>
    <xf numFmtId="4" fontId="15" fillId="3" borderId="0" xfId="0" applyNumberFormat="1" applyFont="1" applyFill="1" applyProtection="1">
      <protection hidden="1"/>
    </xf>
    <xf numFmtId="0" fontId="16" fillId="2" borderId="0" xfId="0" applyFont="1" applyFill="1" applyProtection="1">
      <protection hidden="1"/>
    </xf>
    <xf numFmtId="168" fontId="5" fillId="3" borderId="48" xfId="0" applyNumberFormat="1" applyFont="1" applyFill="1" applyBorder="1" applyProtection="1">
      <protection hidden="1"/>
    </xf>
    <xf numFmtId="168" fontId="5" fillId="3" borderId="49" xfId="0" applyNumberFormat="1" applyFont="1" applyFill="1" applyBorder="1" applyProtection="1">
      <protection hidden="1"/>
    </xf>
    <xf numFmtId="0" fontId="11" fillId="2" borderId="33" xfId="0" applyFont="1" applyFill="1" applyBorder="1" applyProtection="1">
      <protection hidden="1"/>
    </xf>
    <xf numFmtId="168" fontId="5" fillId="2" borderId="51" xfId="0" applyNumberFormat="1" applyFont="1" applyFill="1" applyBorder="1" applyProtection="1">
      <protection hidden="1"/>
    </xf>
    <xf numFmtId="0" fontId="0" fillId="3" borderId="23" xfId="0" applyFill="1" applyBorder="1" applyProtection="1">
      <protection hidden="1"/>
    </xf>
    <xf numFmtId="0" fontId="0" fillId="3" borderId="50" xfId="0" applyFill="1" applyBorder="1" applyProtection="1">
      <protection hidden="1"/>
    </xf>
    <xf numFmtId="0" fontId="55" fillId="7" borderId="0" xfId="0" applyFont="1" applyFill="1" applyProtection="1">
      <protection hidden="1"/>
    </xf>
    <xf numFmtId="0" fontId="44" fillId="2" borderId="0" xfId="0" applyFont="1" applyFill="1" applyProtection="1">
      <protection hidden="1"/>
    </xf>
    <xf numFmtId="0" fontId="12" fillId="5" borderId="52" xfId="0" applyFont="1" applyFill="1" applyBorder="1" applyProtection="1">
      <protection hidden="1"/>
    </xf>
    <xf numFmtId="0" fontId="4" fillId="5" borderId="43" xfId="0" applyFont="1" applyFill="1" applyBorder="1" applyProtection="1">
      <protection hidden="1"/>
    </xf>
    <xf numFmtId="168" fontId="12" fillId="5" borderId="25" xfId="0" applyNumberFormat="1" applyFont="1" applyFill="1" applyBorder="1" applyProtection="1">
      <protection hidden="1"/>
    </xf>
    <xf numFmtId="0" fontId="11" fillId="5" borderId="25" xfId="0" applyFont="1" applyFill="1" applyBorder="1" applyAlignment="1" applyProtection="1">
      <alignment horizontal="center"/>
      <protection hidden="1"/>
    </xf>
    <xf numFmtId="14" fontId="0" fillId="6" borderId="0" xfId="0" applyNumberFormat="1" applyFill="1" applyProtection="1">
      <protection hidden="1"/>
    </xf>
    <xf numFmtId="168" fontId="11" fillId="5" borderId="36" xfId="0" applyNumberFormat="1" applyFont="1" applyFill="1" applyBorder="1" applyProtection="1">
      <protection hidden="1"/>
    </xf>
    <xf numFmtId="10" fontId="11" fillId="5" borderId="36" xfId="0" applyNumberFormat="1" applyFont="1" applyFill="1" applyBorder="1" applyProtection="1">
      <protection hidden="1"/>
    </xf>
    <xf numFmtId="168" fontId="11" fillId="5" borderId="21" xfId="0" applyNumberFormat="1" applyFont="1" applyFill="1" applyBorder="1" applyProtection="1">
      <protection hidden="1"/>
    </xf>
    <xf numFmtId="10" fontId="11" fillId="5" borderId="21" xfId="0" applyNumberFormat="1" applyFont="1" applyFill="1" applyBorder="1" applyProtection="1">
      <protection hidden="1"/>
    </xf>
    <xf numFmtId="0" fontId="11" fillId="3" borderId="45" xfId="0" applyFont="1" applyFill="1" applyBorder="1" applyAlignment="1" applyProtection="1">
      <alignment horizontal="right"/>
      <protection hidden="1"/>
    </xf>
    <xf numFmtId="0" fontId="11" fillId="3" borderId="46" xfId="0" applyFont="1" applyFill="1" applyBorder="1" applyProtection="1">
      <protection hidden="1"/>
    </xf>
    <xf numFmtId="0" fontId="11" fillId="5" borderId="21" xfId="0" applyFont="1" applyFill="1" applyBorder="1" applyProtection="1">
      <protection hidden="1"/>
    </xf>
    <xf numFmtId="168" fontId="11" fillId="5" borderId="34" xfId="0" applyNumberFormat="1" applyFont="1" applyFill="1" applyBorder="1" applyProtection="1">
      <protection hidden="1"/>
    </xf>
    <xf numFmtId="10" fontId="11" fillId="5" borderId="34" xfId="0" applyNumberFormat="1" applyFont="1" applyFill="1" applyBorder="1" applyProtection="1">
      <protection hidden="1"/>
    </xf>
    <xf numFmtId="0" fontId="11" fillId="2" borderId="39" xfId="0" applyFont="1" applyFill="1" applyBorder="1" applyAlignment="1" applyProtection="1">
      <alignment horizontal="right"/>
      <protection hidden="1"/>
    </xf>
    <xf numFmtId="0" fontId="11" fillId="2" borderId="0" xfId="0" applyFont="1" applyFill="1" applyProtection="1">
      <protection hidden="1"/>
    </xf>
    <xf numFmtId="0" fontId="4" fillId="5" borderId="0" xfId="0" applyFont="1" applyFill="1" applyProtection="1">
      <protection hidden="1"/>
    </xf>
    <xf numFmtId="168" fontId="11" fillId="5" borderId="26" xfId="0" applyNumberFormat="1" applyFont="1" applyFill="1" applyBorder="1" applyProtection="1">
      <protection hidden="1"/>
    </xf>
    <xf numFmtId="168" fontId="11" fillId="5" borderId="12" xfId="0" applyNumberFormat="1" applyFont="1" applyFill="1" applyBorder="1" applyProtection="1">
      <protection hidden="1"/>
    </xf>
    <xf numFmtId="10" fontId="11" fillId="5" borderId="12" xfId="0" applyNumberFormat="1" applyFont="1" applyFill="1" applyBorder="1" applyProtection="1">
      <protection hidden="1"/>
    </xf>
    <xf numFmtId="168" fontId="12" fillId="5" borderId="31" xfId="0" applyNumberFormat="1" applyFont="1" applyFill="1" applyBorder="1" applyProtection="1">
      <protection hidden="1"/>
    </xf>
    <xf numFmtId="0" fontId="11" fillId="2" borderId="24" xfId="0" applyFont="1" applyFill="1" applyBorder="1" applyProtection="1">
      <protection hidden="1"/>
    </xf>
    <xf numFmtId="0" fontId="6" fillId="6" borderId="0" xfId="0" applyFont="1" applyFill="1" applyProtection="1">
      <protection hidden="1"/>
    </xf>
    <xf numFmtId="0" fontId="0" fillId="2" borderId="10" xfId="0" applyFill="1" applyBorder="1" applyProtection="1">
      <protection hidden="1"/>
    </xf>
    <xf numFmtId="0" fontId="11" fillId="2" borderId="10" xfId="0" applyFont="1" applyFill="1" applyBorder="1" applyAlignment="1" applyProtection="1">
      <alignment horizontal="right"/>
      <protection hidden="1"/>
    </xf>
    <xf numFmtId="0" fontId="11" fillId="2" borderId="14" xfId="0" applyFont="1" applyFill="1" applyBorder="1" applyProtection="1">
      <protection hidden="1"/>
    </xf>
    <xf numFmtId="0" fontId="11" fillId="2" borderId="45" xfId="0" applyFont="1" applyFill="1" applyBorder="1" applyAlignment="1" applyProtection="1">
      <alignment horizontal="right"/>
      <protection hidden="1"/>
    </xf>
    <xf numFmtId="0" fontId="11" fillId="2" borderId="46" xfId="0" applyFont="1" applyFill="1" applyBorder="1" applyProtection="1">
      <protection hidden="1"/>
    </xf>
    <xf numFmtId="0" fontId="11" fillId="2" borderId="23" xfId="0" applyFont="1" applyFill="1" applyBorder="1" applyAlignment="1" applyProtection="1">
      <alignment horizontal="right"/>
      <protection hidden="1"/>
    </xf>
    <xf numFmtId="171" fontId="5" fillId="6" borderId="0" xfId="0" applyNumberFormat="1" applyFont="1" applyFill="1" applyAlignment="1" applyProtection="1">
      <alignment horizontal="left"/>
      <protection hidden="1"/>
    </xf>
    <xf numFmtId="0" fontId="4" fillId="2" borderId="0" xfId="0" applyFont="1" applyFill="1" applyProtection="1">
      <protection hidden="1"/>
    </xf>
    <xf numFmtId="0" fontId="4" fillId="2" borderId="0" xfId="0" applyFont="1" applyFill="1" applyAlignment="1" applyProtection="1">
      <alignment horizontal="center"/>
      <protection hidden="1"/>
    </xf>
    <xf numFmtId="9" fontId="11" fillId="2" borderId="9" xfId="0" applyNumberFormat="1" applyFont="1" applyFill="1" applyBorder="1" applyAlignment="1" applyProtection="1">
      <alignment horizontal="left"/>
      <protection hidden="1"/>
    </xf>
    <xf numFmtId="9" fontId="3" fillId="2" borderId="9" xfId="0" applyNumberFormat="1" applyFont="1" applyFill="1" applyBorder="1" applyAlignment="1" applyProtection="1">
      <alignment horizontal="left"/>
      <protection hidden="1"/>
    </xf>
    <xf numFmtId="9" fontId="3" fillId="2" borderId="20" xfId="0" applyNumberFormat="1" applyFont="1" applyFill="1" applyBorder="1" applyAlignment="1" applyProtection="1">
      <alignment horizontal="left"/>
      <protection hidden="1"/>
    </xf>
    <xf numFmtId="0" fontId="0" fillId="6" borderId="14" xfId="0" applyFill="1" applyBorder="1" applyProtection="1">
      <protection hidden="1"/>
    </xf>
    <xf numFmtId="0" fontId="4" fillId="5" borderId="41" xfId="0" applyFont="1" applyFill="1" applyBorder="1" applyProtection="1">
      <protection hidden="1"/>
    </xf>
    <xf numFmtId="0" fontId="4" fillId="5" borderId="9" xfId="0" applyFont="1" applyFill="1" applyBorder="1" applyProtection="1">
      <protection hidden="1"/>
    </xf>
    <xf numFmtId="0" fontId="11" fillId="4" borderId="20" xfId="0" applyFont="1" applyFill="1" applyBorder="1" applyAlignment="1" applyProtection="1">
      <alignment horizontal="right"/>
      <protection hidden="1"/>
    </xf>
    <xf numFmtId="168" fontId="4" fillId="4" borderId="20" xfId="0" applyNumberFormat="1" applyFont="1" applyFill="1" applyBorder="1" applyProtection="1">
      <protection hidden="1"/>
    </xf>
    <xf numFmtId="2" fontId="4" fillId="4" borderId="21" xfId="0" applyNumberFormat="1" applyFont="1" applyFill="1" applyBorder="1" applyProtection="1">
      <protection hidden="1"/>
    </xf>
    <xf numFmtId="168" fontId="4" fillId="5" borderId="20" xfId="0" applyNumberFormat="1" applyFont="1" applyFill="1" applyBorder="1" applyProtection="1">
      <protection hidden="1"/>
    </xf>
    <xf numFmtId="2" fontId="4" fillId="5" borderId="21" xfId="0" applyNumberFormat="1" applyFont="1" applyFill="1" applyBorder="1" applyProtection="1">
      <protection hidden="1"/>
    </xf>
    <xf numFmtId="0" fontId="11" fillId="2" borderId="23" xfId="0" applyFont="1" applyFill="1" applyBorder="1" applyAlignment="1" applyProtection="1">
      <alignment horizontal="center"/>
      <protection hidden="1"/>
    </xf>
    <xf numFmtId="0" fontId="11" fillId="2" borderId="24" xfId="0" applyFont="1" applyFill="1" applyBorder="1" applyAlignment="1" applyProtection="1">
      <alignment horizontal="center"/>
      <protection hidden="1"/>
    </xf>
    <xf numFmtId="0" fontId="18" fillId="6" borderId="0" xfId="0" applyFont="1" applyFill="1" applyAlignment="1" applyProtection="1">
      <alignment horizontal="left"/>
      <protection hidden="1"/>
    </xf>
    <xf numFmtId="0" fontId="2" fillId="7" borderId="0" xfId="0" applyFont="1" applyFill="1" applyProtection="1">
      <protection hidden="1"/>
    </xf>
    <xf numFmtId="0" fontId="11" fillId="6" borderId="0" xfId="0" applyFont="1" applyFill="1" applyProtection="1">
      <protection hidden="1"/>
    </xf>
    <xf numFmtId="9" fontId="3" fillId="6" borderId="0" xfId="0" applyNumberFormat="1" applyFont="1" applyFill="1" applyAlignment="1" applyProtection="1">
      <alignment horizontal="left"/>
      <protection hidden="1"/>
    </xf>
    <xf numFmtId="168" fontId="11" fillId="5" borderId="41" xfId="0" applyNumberFormat="1" applyFont="1" applyFill="1" applyBorder="1" applyProtection="1">
      <protection hidden="1"/>
    </xf>
    <xf numFmtId="0" fontId="4" fillId="4" borderId="9" xfId="0" applyFont="1" applyFill="1" applyBorder="1" applyProtection="1">
      <protection hidden="1"/>
    </xf>
    <xf numFmtId="0" fontId="4" fillId="5" borderId="20" xfId="0" applyFont="1" applyFill="1" applyBorder="1" applyProtection="1">
      <protection hidden="1"/>
    </xf>
    <xf numFmtId="0" fontId="19" fillId="2" borderId="45" xfId="0" applyFont="1" applyFill="1" applyBorder="1" applyProtection="1">
      <protection hidden="1"/>
    </xf>
    <xf numFmtId="0" fontId="0" fillId="2" borderId="46" xfId="0" applyFill="1" applyBorder="1" applyProtection="1">
      <protection hidden="1"/>
    </xf>
    <xf numFmtId="171" fontId="0" fillId="2" borderId="46" xfId="0" applyNumberFormat="1" applyFill="1" applyBorder="1" applyProtection="1">
      <protection hidden="1"/>
    </xf>
    <xf numFmtId="9" fontId="3" fillId="2" borderId="46" xfId="0" applyNumberFormat="1" applyFont="1" applyFill="1" applyBorder="1" applyAlignment="1" applyProtection="1">
      <alignment horizontal="left"/>
      <protection hidden="1"/>
    </xf>
    <xf numFmtId="0" fontId="45" fillId="2" borderId="0" xfId="0" applyFont="1" applyFill="1" applyProtection="1">
      <protection hidden="1"/>
    </xf>
    <xf numFmtId="0" fontId="44" fillId="3" borderId="0" xfId="0" applyFont="1" applyFill="1" applyProtection="1">
      <protection hidden="1"/>
    </xf>
    <xf numFmtId="0" fontId="11" fillId="3" borderId="0" xfId="0" applyFont="1" applyFill="1" applyProtection="1">
      <protection hidden="1"/>
    </xf>
    <xf numFmtId="9" fontId="3" fillId="2" borderId="0" xfId="0" applyNumberFormat="1" applyFont="1" applyFill="1" applyAlignment="1" applyProtection="1">
      <alignment horizontal="left"/>
      <protection hidden="1"/>
    </xf>
    <xf numFmtId="0" fontId="45" fillId="3" borderId="0" xfId="0" applyFont="1" applyFill="1" applyProtection="1">
      <protection hidden="1"/>
    </xf>
    <xf numFmtId="168" fontId="46" fillId="2" borderId="0" xfId="0" applyNumberFormat="1" applyFont="1" applyFill="1" applyProtection="1">
      <protection hidden="1"/>
    </xf>
    <xf numFmtId="0" fontId="11" fillId="3" borderId="0" xfId="0" applyFont="1" applyFill="1" applyAlignment="1" applyProtection="1">
      <alignment horizontal="left"/>
      <protection hidden="1"/>
    </xf>
    <xf numFmtId="0" fontId="11" fillId="2" borderId="0" xfId="0" applyFont="1" applyFill="1" applyAlignment="1" applyProtection="1">
      <alignment horizontal="center"/>
      <protection hidden="1"/>
    </xf>
    <xf numFmtId="0" fontId="3" fillId="3" borderId="0" xfId="0" applyFont="1" applyFill="1" applyAlignment="1" applyProtection="1">
      <alignment horizontal="center"/>
      <protection hidden="1"/>
    </xf>
    <xf numFmtId="0" fontId="12" fillId="5" borderId="4" xfId="0" applyFont="1" applyFill="1" applyBorder="1" applyProtection="1">
      <protection hidden="1"/>
    </xf>
    <xf numFmtId="0" fontId="4" fillId="5" borderId="7" xfId="0" applyFont="1" applyFill="1" applyBorder="1" applyProtection="1">
      <protection hidden="1"/>
    </xf>
    <xf numFmtId="168" fontId="12" fillId="5" borderId="40" xfId="0" applyNumberFormat="1" applyFont="1" applyFill="1" applyBorder="1" applyProtection="1">
      <protection hidden="1"/>
    </xf>
    <xf numFmtId="0" fontId="11" fillId="5" borderId="34" xfId="0" applyFont="1" applyFill="1" applyBorder="1" applyAlignment="1" applyProtection="1">
      <alignment horizontal="center"/>
      <protection hidden="1"/>
    </xf>
    <xf numFmtId="0" fontId="11" fillId="5" borderId="40" xfId="0" applyFont="1" applyFill="1" applyBorder="1" applyAlignment="1" applyProtection="1">
      <alignment horizontal="center"/>
      <protection hidden="1"/>
    </xf>
    <xf numFmtId="0" fontId="19" fillId="2" borderId="39" xfId="0" applyFont="1" applyFill="1" applyBorder="1" applyProtection="1">
      <protection hidden="1"/>
    </xf>
    <xf numFmtId="0" fontId="21" fillId="2" borderId="0" xfId="0" applyFont="1" applyFill="1" applyProtection="1">
      <protection hidden="1"/>
    </xf>
    <xf numFmtId="0" fontId="20" fillId="2" borderId="0" xfId="0" applyFont="1" applyFill="1" applyProtection="1">
      <protection hidden="1"/>
    </xf>
    <xf numFmtId="0" fontId="21" fillId="2" borderId="0" xfId="0" applyFont="1" applyFill="1" applyAlignment="1" applyProtection="1">
      <alignment shrinkToFit="1"/>
      <protection hidden="1"/>
    </xf>
    <xf numFmtId="0" fontId="0" fillId="2" borderId="0" xfId="0" applyFill="1" applyAlignment="1" applyProtection="1">
      <alignment shrinkToFit="1"/>
      <protection hidden="1"/>
    </xf>
    <xf numFmtId="9" fontId="3" fillId="2" borderId="48" xfId="0" applyNumberFormat="1" applyFont="1" applyFill="1" applyBorder="1" applyAlignment="1" applyProtection="1">
      <alignment horizontal="left"/>
      <protection hidden="1"/>
    </xf>
    <xf numFmtId="9" fontId="3" fillId="2" borderId="24" xfId="0" applyNumberFormat="1" applyFont="1" applyFill="1" applyBorder="1" applyAlignment="1" applyProtection="1">
      <alignment horizontal="left"/>
      <protection hidden="1"/>
    </xf>
    <xf numFmtId="0" fontId="11" fillId="3" borderId="24" xfId="0" applyFont="1" applyFill="1" applyBorder="1" applyAlignment="1" applyProtection="1">
      <alignment horizontal="center"/>
      <protection hidden="1"/>
    </xf>
    <xf numFmtId="0" fontId="7" fillId="6" borderId="10" xfId="0" applyFont="1" applyFill="1" applyBorder="1" applyProtection="1">
      <protection hidden="1"/>
    </xf>
    <xf numFmtId="0" fontId="0" fillId="7" borderId="11" xfId="0" applyFill="1" applyBorder="1" applyProtection="1">
      <protection hidden="1"/>
    </xf>
    <xf numFmtId="0" fontId="0" fillId="6" borderId="11" xfId="0" applyFill="1" applyBorder="1" applyProtection="1">
      <protection hidden="1"/>
    </xf>
    <xf numFmtId="171" fontId="0" fillId="6" borderId="11" xfId="0" applyNumberFormat="1" applyFill="1" applyBorder="1" applyProtection="1">
      <protection hidden="1"/>
    </xf>
    <xf numFmtId="0" fontId="11" fillId="6" borderId="11" xfId="0" applyFont="1" applyFill="1" applyBorder="1" applyProtection="1">
      <protection hidden="1"/>
    </xf>
    <xf numFmtId="9" fontId="3" fillId="6" borderId="11" xfId="0" applyNumberFormat="1" applyFont="1" applyFill="1" applyBorder="1" applyAlignment="1" applyProtection="1">
      <alignment horizontal="left"/>
      <protection hidden="1"/>
    </xf>
    <xf numFmtId="9" fontId="3" fillId="6" borderId="14" xfId="0" applyNumberFormat="1" applyFont="1" applyFill="1" applyBorder="1" applyAlignment="1" applyProtection="1">
      <alignment horizontal="left"/>
      <protection hidden="1"/>
    </xf>
    <xf numFmtId="0" fontId="0" fillId="6" borderId="53" xfId="0" applyFill="1" applyBorder="1" applyProtection="1">
      <protection hidden="1"/>
    </xf>
    <xf numFmtId="168" fontId="11" fillId="5" borderId="21" xfId="0" applyNumberFormat="1" applyFont="1" applyFill="1" applyBorder="1" applyAlignment="1" applyProtection="1">
      <alignment horizontal="left"/>
      <protection hidden="1"/>
    </xf>
    <xf numFmtId="0" fontId="0" fillId="6" borderId="23" xfId="0" applyFill="1" applyBorder="1" applyProtection="1">
      <protection hidden="1"/>
    </xf>
    <xf numFmtId="0" fontId="11" fillId="2" borderId="16" xfId="0" applyFont="1" applyFill="1" applyBorder="1" applyProtection="1">
      <protection hidden="1"/>
    </xf>
    <xf numFmtId="168" fontId="5" fillId="2" borderId="54" xfId="0" applyNumberFormat="1" applyFont="1" applyFill="1" applyBorder="1" applyAlignment="1" applyProtection="1">
      <alignment horizontal="right"/>
      <protection hidden="1"/>
    </xf>
    <xf numFmtId="168" fontId="5" fillId="2" borderId="49" xfId="0" applyNumberFormat="1" applyFont="1" applyFill="1" applyBorder="1" applyAlignment="1" applyProtection="1">
      <alignment horizontal="right"/>
      <protection hidden="1"/>
    </xf>
    <xf numFmtId="0" fontId="11" fillId="2" borderId="39" xfId="0" applyFont="1" applyFill="1" applyBorder="1" applyAlignment="1" applyProtection="1">
      <alignment horizontal="left"/>
      <protection hidden="1"/>
    </xf>
    <xf numFmtId="168" fontId="11" fillId="5" borderId="0" xfId="0" applyNumberFormat="1" applyFont="1" applyFill="1" applyProtection="1">
      <protection hidden="1"/>
    </xf>
    <xf numFmtId="10" fontId="11" fillId="5" borderId="0" xfId="0" applyNumberFormat="1" applyFont="1" applyFill="1" applyProtection="1">
      <protection hidden="1"/>
    </xf>
    <xf numFmtId="0" fontId="11" fillId="5" borderId="0" xfId="0" applyFont="1" applyFill="1" applyProtection="1">
      <protection hidden="1"/>
    </xf>
    <xf numFmtId="168" fontId="11" fillId="5" borderId="7" xfId="0" applyNumberFormat="1" applyFont="1" applyFill="1" applyBorder="1" applyProtection="1">
      <protection hidden="1"/>
    </xf>
    <xf numFmtId="168" fontId="11" fillId="5" borderId="40" xfId="0" applyNumberFormat="1" applyFont="1" applyFill="1" applyBorder="1" applyProtection="1">
      <protection hidden="1"/>
    </xf>
    <xf numFmtId="10" fontId="11" fillId="5" borderId="40" xfId="0" applyNumberFormat="1" applyFont="1" applyFill="1" applyBorder="1" applyProtection="1">
      <protection hidden="1"/>
    </xf>
    <xf numFmtId="168" fontId="11" fillId="5" borderId="4" xfId="0" applyNumberFormat="1" applyFont="1" applyFill="1" applyBorder="1" applyProtection="1">
      <protection hidden="1"/>
    </xf>
    <xf numFmtId="0" fontId="3" fillId="2" borderId="22" xfId="0" applyFont="1" applyFill="1" applyBorder="1" applyProtection="1">
      <protection hidden="1"/>
    </xf>
    <xf numFmtId="0" fontId="11" fillId="2" borderId="19" xfId="0" applyFont="1" applyFill="1" applyBorder="1" applyProtection="1">
      <protection hidden="1"/>
    </xf>
    <xf numFmtId="168" fontId="5" fillId="2" borderId="38" xfId="0" applyNumberFormat="1" applyFont="1" applyFill="1" applyBorder="1" applyAlignment="1" applyProtection="1">
      <alignment horizontal="right"/>
      <protection hidden="1"/>
    </xf>
    <xf numFmtId="0" fontId="44" fillId="2" borderId="0" xfId="0" applyFont="1" applyFill="1" applyAlignment="1" applyProtection="1">
      <alignment horizontal="center"/>
      <protection hidden="1"/>
    </xf>
    <xf numFmtId="0" fontId="2" fillId="2" borderId="0" xfId="0" applyFont="1" applyFill="1" applyAlignment="1" applyProtection="1">
      <alignment horizontal="left"/>
      <protection hidden="1"/>
    </xf>
    <xf numFmtId="0" fontId="11" fillId="2" borderId="0" xfId="0" applyFont="1" applyFill="1" applyAlignment="1" applyProtection="1">
      <alignment horizontal="left"/>
      <protection hidden="1"/>
    </xf>
    <xf numFmtId="2" fontId="50" fillId="2" borderId="0" xfId="0" applyNumberFormat="1" applyFont="1" applyFill="1" applyAlignment="1" applyProtection="1">
      <alignment horizontal="left"/>
      <protection hidden="1"/>
    </xf>
    <xf numFmtId="0" fontId="11" fillId="2" borderId="39" xfId="0" applyFont="1" applyFill="1" applyBorder="1" applyAlignment="1" applyProtection="1">
      <alignment horizontal="center"/>
      <protection hidden="1"/>
    </xf>
    <xf numFmtId="0" fontId="11" fillId="3" borderId="0" xfId="0" applyFont="1" applyFill="1" applyAlignment="1" applyProtection="1">
      <alignment horizontal="center"/>
      <protection hidden="1"/>
    </xf>
    <xf numFmtId="0" fontId="4" fillId="5" borderId="10" xfId="0" applyFont="1" applyFill="1" applyBorder="1" applyAlignment="1" applyProtection="1">
      <alignment horizontal="center"/>
      <protection hidden="1"/>
    </xf>
    <xf numFmtId="173" fontId="4" fillId="5" borderId="11" xfId="0" applyNumberFormat="1" applyFont="1" applyFill="1" applyBorder="1" applyAlignment="1" applyProtection="1">
      <alignment horizontal="center"/>
      <protection hidden="1"/>
    </xf>
    <xf numFmtId="0" fontId="4" fillId="5" borderId="14" xfId="0" applyFont="1" applyFill="1" applyBorder="1" applyAlignment="1" applyProtection="1">
      <alignment horizontal="center"/>
      <protection hidden="1"/>
    </xf>
    <xf numFmtId="171" fontId="0" fillId="2" borderId="0" xfId="0" applyNumberFormat="1" applyFill="1" applyAlignment="1" applyProtection="1">
      <alignment shrinkToFit="1"/>
      <protection hidden="1"/>
    </xf>
    <xf numFmtId="0" fontId="4" fillId="5" borderId="39" xfId="0" applyFont="1" applyFill="1" applyBorder="1" applyAlignment="1" applyProtection="1">
      <alignment horizontal="center"/>
      <protection hidden="1"/>
    </xf>
    <xf numFmtId="0" fontId="4" fillId="5" borderId="27" xfId="0" applyFont="1" applyFill="1" applyBorder="1" applyProtection="1">
      <protection hidden="1"/>
    </xf>
    <xf numFmtId="0" fontId="4" fillId="5" borderId="0" xfId="0" applyFont="1" applyFill="1" applyAlignment="1" applyProtection="1">
      <alignment horizontal="center"/>
      <protection hidden="1"/>
    </xf>
    <xf numFmtId="0" fontId="4" fillId="5" borderId="48" xfId="0" applyFont="1" applyFill="1" applyBorder="1" applyAlignment="1" applyProtection="1">
      <alignment horizontal="center"/>
      <protection hidden="1"/>
    </xf>
    <xf numFmtId="0" fontId="19" fillId="2" borderId="55" xfId="0" applyFont="1" applyFill="1" applyBorder="1" applyAlignment="1" applyProtection="1">
      <alignment horizontal="left"/>
      <protection hidden="1"/>
    </xf>
    <xf numFmtId="0" fontId="0" fillId="0" borderId="45" xfId="0" applyBorder="1" applyProtection="1">
      <protection hidden="1"/>
    </xf>
    <xf numFmtId="0" fontId="0" fillId="0" borderId="28" xfId="0" applyBorder="1" applyProtection="1">
      <protection hidden="1"/>
    </xf>
    <xf numFmtId="0" fontId="4" fillId="5" borderId="28" xfId="0" applyFont="1" applyFill="1" applyBorder="1" applyProtection="1">
      <protection hidden="1"/>
    </xf>
    <xf numFmtId="0" fontId="0" fillId="0" borderId="47" xfId="0" applyBorder="1" applyProtection="1">
      <protection hidden="1"/>
    </xf>
    <xf numFmtId="0" fontId="4" fillId="5" borderId="19" xfId="0" applyFont="1" applyFill="1" applyBorder="1" applyProtection="1">
      <protection hidden="1"/>
    </xf>
    <xf numFmtId="0" fontId="0" fillId="0" borderId="21" xfId="0" applyBorder="1" applyProtection="1">
      <protection hidden="1"/>
    </xf>
    <xf numFmtId="0" fontId="4" fillId="5" borderId="21" xfId="0" applyFont="1" applyFill="1" applyBorder="1" applyProtection="1">
      <protection hidden="1"/>
    </xf>
    <xf numFmtId="164" fontId="4" fillId="5" borderId="21" xfId="0" applyNumberFormat="1" applyFont="1" applyFill="1" applyBorder="1" applyProtection="1">
      <protection hidden="1"/>
    </xf>
    <xf numFmtId="0" fontId="0" fillId="0" borderId="38" xfId="0" applyBorder="1" applyProtection="1">
      <protection hidden="1"/>
    </xf>
    <xf numFmtId="0" fontId="4" fillId="5" borderId="22" xfId="0" applyFont="1" applyFill="1" applyBorder="1" applyProtection="1">
      <protection hidden="1"/>
    </xf>
    <xf numFmtId="165" fontId="4" fillId="5" borderId="36" xfId="0" applyNumberFormat="1" applyFont="1" applyFill="1" applyBorder="1" applyProtection="1">
      <protection hidden="1"/>
    </xf>
    <xf numFmtId="0" fontId="4" fillId="5" borderId="36" xfId="0" applyFont="1" applyFill="1" applyBorder="1" applyProtection="1">
      <protection hidden="1"/>
    </xf>
    <xf numFmtId="164" fontId="4" fillId="5" borderId="36" xfId="0" applyNumberFormat="1" applyFont="1" applyFill="1" applyBorder="1" applyProtection="1">
      <protection hidden="1"/>
    </xf>
    <xf numFmtId="164" fontId="4" fillId="5" borderId="37" xfId="0" applyNumberFormat="1" applyFont="1" applyFill="1" applyBorder="1" applyProtection="1">
      <protection hidden="1"/>
    </xf>
    <xf numFmtId="0" fontId="0" fillId="2" borderId="24" xfId="0" applyFill="1" applyBorder="1" applyProtection="1">
      <protection hidden="1"/>
    </xf>
    <xf numFmtId="171" fontId="0" fillId="2" borderId="24" xfId="0" applyNumberFormat="1" applyFill="1" applyBorder="1" applyProtection="1">
      <protection hidden="1"/>
    </xf>
    <xf numFmtId="9" fontId="3" fillId="2" borderId="50" xfId="0" applyNumberFormat="1" applyFont="1" applyFill="1" applyBorder="1" applyAlignment="1" applyProtection="1">
      <alignment horizontal="left"/>
      <protection hidden="1"/>
    </xf>
    <xf numFmtId="165" fontId="4" fillId="5" borderId="21" xfId="0" applyNumberFormat="1" applyFont="1" applyFill="1" applyBorder="1" applyProtection="1">
      <protection hidden="1"/>
    </xf>
    <xf numFmtId="164" fontId="4" fillId="5" borderId="29" xfId="0" applyNumberFormat="1" applyFont="1" applyFill="1" applyBorder="1" applyProtection="1">
      <protection hidden="1"/>
    </xf>
    <xf numFmtId="171" fontId="0" fillId="6" borderId="0" xfId="0" applyNumberFormat="1" applyFill="1" applyProtection="1">
      <protection hidden="1"/>
    </xf>
    <xf numFmtId="10" fontId="4" fillId="5" borderId="21" xfId="0" applyNumberFormat="1" applyFont="1" applyFill="1" applyBorder="1" applyProtection="1">
      <protection hidden="1"/>
    </xf>
    <xf numFmtId="0" fontId="4" fillId="5" borderId="29" xfId="0" applyFont="1" applyFill="1" applyBorder="1" applyProtection="1">
      <protection hidden="1"/>
    </xf>
    <xf numFmtId="9" fontId="3" fillId="2" borderId="47" xfId="0" applyNumberFormat="1" applyFont="1" applyFill="1" applyBorder="1" applyAlignment="1" applyProtection="1">
      <alignment horizontal="left"/>
      <protection hidden="1"/>
    </xf>
    <xf numFmtId="0" fontId="4" fillId="5" borderId="23" xfId="0" applyFont="1" applyFill="1" applyBorder="1" applyProtection="1">
      <protection hidden="1"/>
    </xf>
    <xf numFmtId="165" fontId="4" fillId="5" borderId="44" xfId="0" applyNumberFormat="1" applyFont="1" applyFill="1" applyBorder="1" applyProtection="1">
      <protection hidden="1"/>
    </xf>
    <xf numFmtId="0" fontId="4" fillId="5" borderId="44" xfId="0" applyFont="1" applyFill="1" applyBorder="1" applyProtection="1">
      <protection hidden="1"/>
    </xf>
    <xf numFmtId="0" fontId="4" fillId="5" borderId="56" xfId="0" applyFont="1" applyFill="1" applyBorder="1" applyProtection="1">
      <protection hidden="1"/>
    </xf>
    <xf numFmtId="171" fontId="0" fillId="2" borderId="0" xfId="0" applyNumberFormat="1" applyFill="1" applyProtection="1">
      <protection hidden="1"/>
    </xf>
    <xf numFmtId="0" fontId="41" fillId="2" borderId="0" xfId="0" applyFont="1" applyFill="1" applyProtection="1">
      <protection hidden="1"/>
    </xf>
    <xf numFmtId="2" fontId="4" fillId="2" borderId="0" xfId="0" applyNumberFormat="1" applyFont="1" applyFill="1" applyAlignment="1" applyProtection="1">
      <alignment horizontal="center"/>
      <protection hidden="1"/>
    </xf>
    <xf numFmtId="168" fontId="12" fillId="2" borderId="48" xfId="0" applyNumberFormat="1" applyFont="1" applyFill="1" applyBorder="1" applyAlignment="1" applyProtection="1">
      <alignment horizontal="right"/>
      <protection hidden="1"/>
    </xf>
    <xf numFmtId="0" fontId="22" fillId="2" borderId="0" xfId="0" applyFont="1" applyFill="1" applyProtection="1">
      <protection hidden="1"/>
    </xf>
    <xf numFmtId="9" fontId="4" fillId="2" borderId="0" xfId="0" applyNumberFormat="1" applyFont="1" applyFill="1" applyAlignment="1" applyProtection="1">
      <alignment horizontal="left"/>
      <protection hidden="1"/>
    </xf>
    <xf numFmtId="0" fontId="6" fillId="7" borderId="0" xfId="0" applyFont="1" applyFill="1" applyProtection="1">
      <protection hidden="1"/>
    </xf>
    <xf numFmtId="0" fontId="7" fillId="7" borderId="0" xfId="0" applyFont="1" applyFill="1" applyProtection="1">
      <protection hidden="1"/>
    </xf>
    <xf numFmtId="10" fontId="7" fillId="7" borderId="0" xfId="0" applyNumberFormat="1" applyFont="1" applyFill="1" applyAlignment="1" applyProtection="1">
      <alignment horizontal="center"/>
      <protection hidden="1"/>
    </xf>
    <xf numFmtId="171" fontId="7" fillId="6" borderId="0" xfId="0" applyNumberFormat="1" applyFont="1" applyFill="1" applyAlignment="1" applyProtection="1">
      <alignment horizontal="center"/>
      <protection hidden="1"/>
    </xf>
    <xf numFmtId="171" fontId="7" fillId="6" borderId="0" xfId="0" applyNumberFormat="1" applyFont="1" applyFill="1" applyProtection="1">
      <protection hidden="1"/>
    </xf>
    <xf numFmtId="9" fontId="7" fillId="6" borderId="0" xfId="0" applyNumberFormat="1" applyFont="1" applyFill="1" applyAlignment="1" applyProtection="1">
      <alignment horizontal="left"/>
      <protection hidden="1"/>
    </xf>
    <xf numFmtId="0" fontId="7" fillId="6" borderId="0" xfId="0" applyFont="1" applyFill="1" applyAlignment="1" applyProtection="1">
      <alignment horizontal="center"/>
      <protection hidden="1"/>
    </xf>
    <xf numFmtId="166" fontId="7" fillId="6" borderId="0" xfId="3" applyFont="1" applyFill="1" applyBorder="1" applyAlignment="1" applyProtection="1">
      <alignment horizontal="left" shrinkToFit="1"/>
      <protection hidden="1"/>
    </xf>
    <xf numFmtId="0" fontId="23" fillId="6" borderId="0" xfId="0" applyFont="1" applyFill="1" applyProtection="1">
      <protection hidden="1"/>
    </xf>
    <xf numFmtId="9" fontId="3" fillId="2" borderId="0" xfId="0" applyNumberFormat="1" applyFont="1" applyFill="1" applyAlignment="1" applyProtection="1">
      <alignment horizontal="center"/>
      <protection hidden="1"/>
    </xf>
    <xf numFmtId="171" fontId="0" fillId="3" borderId="24" xfId="0" applyNumberFormat="1" applyFill="1" applyBorder="1" applyProtection="1">
      <protection hidden="1"/>
    </xf>
    <xf numFmtId="171" fontId="5" fillId="2" borderId="24" xfId="0" applyNumberFormat="1" applyFont="1" applyFill="1" applyBorder="1" applyProtection="1">
      <protection hidden="1"/>
    </xf>
    <xf numFmtId="0" fontId="11" fillId="2" borderId="45" xfId="0" applyFont="1" applyFill="1" applyBorder="1" applyProtection="1">
      <protection hidden="1"/>
    </xf>
    <xf numFmtId="49" fontId="11" fillId="3" borderId="0" xfId="0" applyNumberFormat="1" applyFont="1" applyFill="1" applyAlignment="1" applyProtection="1">
      <alignment horizontal="right"/>
      <protection hidden="1"/>
    </xf>
    <xf numFmtId="174" fontId="4" fillId="2" borderId="0" xfId="0" applyNumberFormat="1" applyFont="1" applyFill="1" applyAlignment="1" applyProtection="1">
      <alignment horizontal="left" shrinkToFit="1"/>
      <protection hidden="1"/>
    </xf>
    <xf numFmtId="174" fontId="4" fillId="2" borderId="48" xfId="0" applyNumberFormat="1" applyFont="1" applyFill="1" applyBorder="1" applyAlignment="1" applyProtection="1">
      <alignment horizontal="left" shrinkToFit="1"/>
      <protection hidden="1"/>
    </xf>
    <xf numFmtId="0" fontId="9" fillId="2" borderId="39" xfId="0" applyFont="1" applyFill="1" applyBorder="1" applyProtection="1">
      <protection hidden="1"/>
    </xf>
    <xf numFmtId="174" fontId="11" fillId="2" borderId="0" xfId="0" applyNumberFormat="1" applyFont="1" applyFill="1" applyAlignment="1" applyProtection="1">
      <alignment horizontal="center" shrinkToFit="1"/>
      <protection hidden="1"/>
    </xf>
    <xf numFmtId="0" fontId="11" fillId="3" borderId="0" xfId="0" applyFont="1" applyFill="1" applyAlignment="1" applyProtection="1">
      <alignment horizontal="right"/>
      <protection hidden="1"/>
    </xf>
    <xf numFmtId="168" fontId="5" fillId="2" borderId="48" xfId="0" applyNumberFormat="1" applyFont="1" applyFill="1" applyBorder="1" applyAlignment="1" applyProtection="1">
      <alignment horizontal="right"/>
      <protection hidden="1"/>
    </xf>
    <xf numFmtId="0" fontId="24" fillId="2" borderId="0" xfId="0" applyFont="1" applyFill="1" applyProtection="1">
      <protection hidden="1"/>
    </xf>
    <xf numFmtId="0" fontId="24" fillId="3" borderId="0" xfId="0" applyFont="1" applyFill="1" applyProtection="1">
      <protection hidden="1"/>
    </xf>
    <xf numFmtId="9" fontId="11" fillId="2" borderId="0" xfId="0" applyNumberFormat="1" applyFont="1" applyFill="1" applyAlignment="1" applyProtection="1">
      <alignment horizontal="center"/>
      <protection hidden="1"/>
    </xf>
    <xf numFmtId="9" fontId="9" fillId="2" borderId="0" xfId="0" applyNumberFormat="1" applyFont="1" applyFill="1" applyAlignment="1" applyProtection="1">
      <alignment horizontal="left"/>
      <protection hidden="1"/>
    </xf>
    <xf numFmtId="0" fontId="42" fillId="3" borderId="0" xfId="0" applyFont="1" applyFill="1" applyAlignment="1" applyProtection="1">
      <alignment horizontal="right"/>
      <protection hidden="1"/>
    </xf>
    <xf numFmtId="174" fontId="41" fillId="2" borderId="0" xfId="0" applyNumberFormat="1" applyFont="1" applyFill="1" applyAlignment="1" applyProtection="1">
      <alignment horizontal="left" shrinkToFit="1"/>
      <protection hidden="1"/>
    </xf>
    <xf numFmtId="0" fontId="17" fillId="2" borderId="0" xfId="0" applyFont="1" applyFill="1" applyProtection="1">
      <protection hidden="1"/>
    </xf>
    <xf numFmtId="174" fontId="44" fillId="2" borderId="0" xfId="0" applyNumberFormat="1" applyFont="1" applyFill="1" applyAlignment="1" applyProtection="1">
      <alignment horizontal="center" shrinkToFit="1"/>
      <protection hidden="1"/>
    </xf>
    <xf numFmtId="0" fontId="42" fillId="3" borderId="0" xfId="0" applyFont="1" applyFill="1" applyAlignment="1" applyProtection="1">
      <alignment horizontal="center"/>
      <protection hidden="1"/>
    </xf>
    <xf numFmtId="0" fontId="44" fillId="3" borderId="0" xfId="0" applyFont="1" applyFill="1" applyAlignment="1" applyProtection="1">
      <alignment horizontal="center"/>
      <protection hidden="1"/>
    </xf>
    <xf numFmtId="0" fontId="11" fillId="2" borderId="0" xfId="0" applyFont="1" applyFill="1" applyAlignment="1" applyProtection="1">
      <alignment horizontal="center" shrinkToFit="1"/>
      <protection hidden="1"/>
    </xf>
    <xf numFmtId="0" fontId="0" fillId="3" borderId="39" xfId="0" applyFill="1" applyBorder="1" applyProtection="1">
      <protection hidden="1"/>
    </xf>
    <xf numFmtId="0" fontId="19" fillId="2" borderId="0" xfId="0" applyFont="1" applyFill="1" applyAlignment="1" applyProtection="1">
      <alignment horizontal="center" shrinkToFit="1"/>
      <protection hidden="1"/>
    </xf>
    <xf numFmtId="174" fontId="11" fillId="2" borderId="48" xfId="0" applyNumberFormat="1" applyFont="1" applyFill="1" applyBorder="1" applyAlignment="1" applyProtection="1">
      <alignment horizontal="center" shrinkToFit="1"/>
      <protection hidden="1"/>
    </xf>
    <xf numFmtId="0" fontId="47" fillId="2" borderId="24" xfId="0" applyFont="1" applyFill="1" applyBorder="1" applyAlignment="1" applyProtection="1">
      <alignment horizontal="center"/>
      <protection hidden="1"/>
    </xf>
    <xf numFmtId="0" fontId="26" fillId="3" borderId="45" xfId="0" applyFont="1" applyFill="1" applyBorder="1" applyProtection="1">
      <protection hidden="1"/>
    </xf>
    <xf numFmtId="0" fontId="0" fillId="3" borderId="46" xfId="0" applyFill="1" applyBorder="1" applyAlignment="1" applyProtection="1">
      <alignment horizontal="center"/>
      <protection hidden="1"/>
    </xf>
    <xf numFmtId="0" fontId="26" fillId="3" borderId="23" xfId="0" applyFont="1" applyFill="1" applyBorder="1" applyProtection="1">
      <protection hidden="1"/>
    </xf>
    <xf numFmtId="171" fontId="6" fillId="6" borderId="0" xfId="0" applyNumberFormat="1" applyFont="1" applyFill="1" applyProtection="1">
      <protection hidden="1"/>
    </xf>
    <xf numFmtId="0" fontId="11" fillId="3" borderId="39" xfId="0" applyFont="1" applyFill="1" applyBorder="1" applyProtection="1">
      <protection hidden="1"/>
    </xf>
    <xf numFmtId="173" fontId="3" fillId="2" borderId="11" xfId="1" applyNumberFormat="1" applyFont="1" applyFill="1" applyBorder="1" applyAlignment="1" applyProtection="1">
      <alignment horizontal="left"/>
      <protection hidden="1"/>
    </xf>
    <xf numFmtId="0" fontId="0" fillId="3" borderId="11" xfId="0" applyFill="1" applyBorder="1" applyAlignment="1" applyProtection="1">
      <alignment horizontal="left"/>
      <protection hidden="1"/>
    </xf>
    <xf numFmtId="9" fontId="3" fillId="2" borderId="11" xfId="0" applyNumberFormat="1" applyFont="1" applyFill="1" applyBorder="1" applyAlignment="1" applyProtection="1">
      <alignment horizontal="left"/>
      <protection hidden="1"/>
    </xf>
    <xf numFmtId="9" fontId="3" fillId="2" borderId="14" xfId="0" applyNumberFormat="1" applyFont="1" applyFill="1" applyBorder="1" applyAlignment="1" applyProtection="1">
      <alignment horizontal="left"/>
      <protection hidden="1"/>
    </xf>
    <xf numFmtId="0" fontId="11" fillId="3" borderId="5" xfId="0" applyFont="1" applyFill="1" applyBorder="1" applyProtection="1">
      <protection hidden="1"/>
    </xf>
    <xf numFmtId="0" fontId="0" fillId="3" borderId="8" xfId="0" applyFill="1" applyBorder="1" applyProtection="1">
      <protection hidden="1"/>
    </xf>
    <xf numFmtId="0" fontId="11" fillId="3" borderId="41" xfId="0" applyFont="1" applyFill="1" applyBorder="1" applyProtection="1">
      <protection hidden="1"/>
    </xf>
    <xf numFmtId="0" fontId="0" fillId="3" borderId="20" xfId="0" applyFill="1" applyBorder="1" applyProtection="1">
      <protection hidden="1"/>
    </xf>
    <xf numFmtId="0" fontId="37" fillId="2" borderId="45" xfId="0" applyFont="1" applyFill="1" applyBorder="1" applyProtection="1">
      <protection hidden="1"/>
    </xf>
    <xf numFmtId="0" fontId="19" fillId="2" borderId="46" xfId="0" applyFont="1" applyFill="1" applyBorder="1" applyProtection="1">
      <protection hidden="1"/>
    </xf>
    <xf numFmtId="0" fontId="27" fillId="7" borderId="0" xfId="0" applyFont="1" applyFill="1" applyProtection="1">
      <protection hidden="1"/>
    </xf>
    <xf numFmtId="0" fontId="11" fillId="2" borderId="1" xfId="0" applyFont="1" applyFill="1" applyBorder="1" applyProtection="1">
      <protection hidden="1"/>
    </xf>
    <xf numFmtId="0" fontId="0" fillId="2" borderId="41" xfId="0" applyFill="1" applyBorder="1" applyProtection="1">
      <protection hidden="1"/>
    </xf>
    <xf numFmtId="0" fontId="0" fillId="2" borderId="6" xfId="0" applyFill="1" applyBorder="1" applyProtection="1">
      <protection hidden="1"/>
    </xf>
    <xf numFmtId="0" fontId="11" fillId="2" borderId="2" xfId="0" applyFont="1" applyFill="1" applyBorder="1" applyAlignment="1" applyProtection="1">
      <alignment horizontal="left"/>
      <protection hidden="1"/>
    </xf>
    <xf numFmtId="0" fontId="0" fillId="3" borderId="2" xfId="0" applyFill="1" applyBorder="1" applyProtection="1">
      <protection hidden="1"/>
    </xf>
    <xf numFmtId="0" fontId="11" fillId="2" borderId="2" xfId="0" applyFont="1" applyFill="1" applyBorder="1" applyProtection="1">
      <protection hidden="1"/>
    </xf>
    <xf numFmtId="0" fontId="0" fillId="2" borderId="4" xfId="0" applyFill="1" applyBorder="1" applyProtection="1">
      <protection hidden="1"/>
    </xf>
    <xf numFmtId="0" fontId="3" fillId="7" borderId="0" xfId="0" applyFont="1" applyFill="1" applyProtection="1">
      <protection hidden="1"/>
    </xf>
    <xf numFmtId="0" fontId="0" fillId="2" borderId="5" xfId="0" applyFill="1" applyBorder="1" applyProtection="1">
      <protection hidden="1"/>
    </xf>
    <xf numFmtId="0" fontId="0" fillId="3" borderId="1" xfId="0" applyFill="1" applyBorder="1" applyProtection="1">
      <protection hidden="1"/>
    </xf>
    <xf numFmtId="0" fontId="11" fillId="2" borderId="22" xfId="0" applyFont="1" applyFill="1" applyBorder="1" applyAlignment="1" applyProtection="1">
      <alignment horizontal="right"/>
      <protection hidden="1"/>
    </xf>
    <xf numFmtId="184" fontId="5" fillId="2" borderId="0" xfId="0" applyNumberFormat="1" applyFont="1" applyFill="1" applyAlignment="1" applyProtection="1">
      <alignment horizontal="left"/>
      <protection hidden="1"/>
    </xf>
    <xf numFmtId="0" fontId="11" fillId="2" borderId="1" xfId="0" applyFont="1" applyFill="1" applyBorder="1" applyAlignment="1" applyProtection="1">
      <alignment horizontal="right"/>
      <protection hidden="1"/>
    </xf>
    <xf numFmtId="0" fontId="48" fillId="7" borderId="0" xfId="0" applyFont="1" applyFill="1" applyProtection="1">
      <protection hidden="1"/>
    </xf>
    <xf numFmtId="0" fontId="0" fillId="3" borderId="9" xfId="0" applyFill="1" applyBorder="1" applyProtection="1">
      <protection hidden="1"/>
    </xf>
    <xf numFmtId="171" fontId="0" fillId="2" borderId="9" xfId="0" applyNumberFormat="1" applyFill="1" applyBorder="1" applyProtection="1">
      <protection hidden="1"/>
    </xf>
    <xf numFmtId="0" fontId="0" fillId="2" borderId="9" xfId="0" applyFill="1" applyBorder="1" applyProtection="1">
      <protection hidden="1"/>
    </xf>
    <xf numFmtId="0" fontId="11" fillId="2" borderId="9" xfId="0" applyFont="1" applyFill="1" applyBorder="1" applyProtection="1">
      <protection hidden="1"/>
    </xf>
    <xf numFmtId="0" fontId="0" fillId="3" borderId="5" xfId="0" applyFill="1" applyBorder="1" applyProtection="1">
      <protection hidden="1"/>
    </xf>
    <xf numFmtId="0" fontId="0" fillId="2" borderId="1" xfId="0" applyFill="1" applyBorder="1" applyProtection="1">
      <protection hidden="1"/>
    </xf>
    <xf numFmtId="171" fontId="0" fillId="2" borderId="1" xfId="0" applyNumberFormat="1" applyFill="1" applyBorder="1" applyProtection="1">
      <protection hidden="1"/>
    </xf>
    <xf numFmtId="9" fontId="3" fillId="2" borderId="1" xfId="0" applyNumberFormat="1" applyFont="1" applyFill="1" applyBorder="1" applyAlignment="1" applyProtection="1">
      <alignment horizontal="left"/>
      <protection hidden="1"/>
    </xf>
    <xf numFmtId="0" fontId="3" fillId="3" borderId="5" xfId="0" applyFont="1" applyFill="1" applyBorder="1" applyProtection="1">
      <protection hidden="1"/>
    </xf>
    <xf numFmtId="0" fontId="0" fillId="4" borderId="6" xfId="0" applyFill="1" applyBorder="1" applyProtection="1">
      <protection hidden="1"/>
    </xf>
    <xf numFmtId="0" fontId="0" fillId="4" borderId="2" xfId="0" applyFill="1" applyBorder="1" applyProtection="1">
      <protection hidden="1"/>
    </xf>
    <xf numFmtId="0" fontId="0" fillId="4" borderId="3" xfId="0" applyFill="1" applyBorder="1" applyProtection="1">
      <protection hidden="1"/>
    </xf>
    <xf numFmtId="0" fontId="0" fillId="4" borderId="4" xfId="0" applyFill="1" applyBorder="1" applyProtection="1">
      <protection hidden="1"/>
    </xf>
    <xf numFmtId="0" fontId="0" fillId="4" borderId="0" xfId="0" applyFill="1" applyProtection="1">
      <protection hidden="1"/>
    </xf>
    <xf numFmtId="0" fontId="0" fillId="4" borderId="7" xfId="0" applyFill="1" applyBorder="1" applyProtection="1">
      <protection hidden="1"/>
    </xf>
    <xf numFmtId="0" fontId="11" fillId="5" borderId="4" xfId="0" applyFont="1" applyFill="1" applyBorder="1" applyProtection="1">
      <protection hidden="1"/>
    </xf>
    <xf numFmtId="0" fontId="0" fillId="5" borderId="0" xfId="0" applyFill="1" applyProtection="1">
      <protection hidden="1"/>
    </xf>
    <xf numFmtId="0" fontId="0" fillId="4" borderId="8" xfId="0" applyFill="1" applyBorder="1" applyProtection="1">
      <protection hidden="1"/>
    </xf>
    <xf numFmtId="0" fontId="12" fillId="5" borderId="0" xfId="0" applyFont="1" applyFill="1" applyAlignment="1" applyProtection="1">
      <alignment horizontal="right"/>
      <protection hidden="1"/>
    </xf>
    <xf numFmtId="49" fontId="12" fillId="5" borderId="21" xfId="0" applyNumberFormat="1" applyFont="1" applyFill="1" applyBorder="1" applyAlignment="1" applyProtection="1">
      <alignment horizontal="center"/>
      <protection hidden="1"/>
    </xf>
    <xf numFmtId="0" fontId="12" fillId="5" borderId="0" xfId="0" applyFont="1" applyFill="1" applyAlignment="1" applyProtection="1">
      <alignment horizontal="center"/>
      <protection hidden="1"/>
    </xf>
    <xf numFmtId="0" fontId="12" fillId="5" borderId="4" xfId="0" applyFont="1" applyFill="1" applyBorder="1" applyAlignment="1" applyProtection="1">
      <alignment horizontal="left"/>
      <protection hidden="1"/>
    </xf>
    <xf numFmtId="0" fontId="12" fillId="5" borderId="0" xfId="0" applyFont="1" applyFill="1" applyAlignment="1" applyProtection="1">
      <alignment horizontal="left"/>
      <protection hidden="1"/>
    </xf>
    <xf numFmtId="176" fontId="11" fillId="5" borderId="0" xfId="0" applyNumberFormat="1" applyFont="1" applyFill="1" applyProtection="1">
      <protection hidden="1"/>
    </xf>
    <xf numFmtId="176" fontId="11" fillId="5" borderId="4" xfId="0" applyNumberFormat="1" applyFont="1" applyFill="1" applyBorder="1" applyAlignment="1" applyProtection="1">
      <alignment horizontal="left"/>
      <protection hidden="1"/>
    </xf>
    <xf numFmtId="0" fontId="11" fillId="5" borderId="0" xfId="0" applyFont="1" applyFill="1" applyAlignment="1" applyProtection="1">
      <alignment horizontal="left"/>
      <protection hidden="1"/>
    </xf>
    <xf numFmtId="0" fontId="11" fillId="5" borderId="0" xfId="0" applyFont="1" applyFill="1" applyAlignment="1" applyProtection="1">
      <alignment horizontal="center"/>
      <protection hidden="1"/>
    </xf>
    <xf numFmtId="175" fontId="11" fillId="5" borderId="0" xfId="0" applyNumberFormat="1" applyFont="1" applyFill="1" applyAlignment="1" applyProtection="1">
      <alignment horizontal="center"/>
      <protection hidden="1"/>
    </xf>
    <xf numFmtId="49" fontId="11" fillId="5" borderId="0" xfId="0" applyNumberFormat="1" applyFont="1" applyFill="1" applyAlignment="1" applyProtection="1">
      <alignment horizontal="center"/>
      <protection hidden="1"/>
    </xf>
    <xf numFmtId="176" fontId="12" fillId="5" borderId="0" xfId="0" applyNumberFormat="1" applyFont="1" applyFill="1" applyProtection="1">
      <protection hidden="1"/>
    </xf>
    <xf numFmtId="176" fontId="12" fillId="4" borderId="0" xfId="0" applyNumberFormat="1" applyFont="1" applyFill="1" applyProtection="1">
      <protection hidden="1"/>
    </xf>
    <xf numFmtId="0" fontId="11" fillId="4" borderId="0" xfId="0" applyFont="1" applyFill="1" applyProtection="1">
      <protection hidden="1"/>
    </xf>
    <xf numFmtId="0" fontId="0" fillId="0" borderId="7" xfId="0" applyBorder="1" applyProtection="1">
      <protection hidden="1"/>
    </xf>
    <xf numFmtId="0" fontId="12" fillId="5" borderId="0" xfId="0" applyFont="1" applyFill="1" applyProtection="1">
      <protection hidden="1"/>
    </xf>
    <xf numFmtId="172" fontId="20" fillId="5" borderId="0" xfId="4" applyNumberFormat="1" applyFont="1" applyFill="1" applyBorder="1" applyAlignment="1" applyProtection="1">
      <alignment horizontal="left"/>
      <protection hidden="1"/>
    </xf>
    <xf numFmtId="0" fontId="11" fillId="5" borderId="4" xfId="0" applyFont="1" applyFill="1" applyBorder="1" applyAlignment="1" applyProtection="1">
      <alignment horizontal="right"/>
      <protection hidden="1"/>
    </xf>
    <xf numFmtId="175" fontId="12" fillId="5" borderId="0" xfId="0" applyNumberFormat="1" applyFont="1" applyFill="1" applyProtection="1">
      <protection hidden="1"/>
    </xf>
    <xf numFmtId="168" fontId="12" fillId="5" borderId="0" xfId="2" applyNumberFormat="1" applyFont="1" applyFill="1" applyBorder="1" applyAlignment="1" applyProtection="1">
      <alignment horizontal="right"/>
      <protection hidden="1"/>
    </xf>
    <xf numFmtId="168" fontId="12" fillId="5" borderId="0" xfId="4" applyFont="1" applyFill="1" applyBorder="1" applyAlignment="1" applyProtection="1">
      <alignment shrinkToFit="1"/>
      <protection hidden="1"/>
    </xf>
    <xf numFmtId="0" fontId="11" fillId="5" borderId="7" xfId="0" applyFont="1" applyFill="1" applyBorder="1" applyProtection="1">
      <protection hidden="1"/>
    </xf>
    <xf numFmtId="0" fontId="11" fillId="5" borderId="4" xfId="0" applyFont="1" applyFill="1" applyBorder="1" applyAlignment="1" applyProtection="1">
      <alignment horizontal="left"/>
      <protection hidden="1"/>
    </xf>
    <xf numFmtId="10" fontId="12" fillId="5" borderId="0" xfId="0" applyNumberFormat="1" applyFont="1" applyFill="1" applyAlignment="1" applyProtection="1">
      <alignment horizontal="center"/>
      <protection hidden="1"/>
    </xf>
    <xf numFmtId="166" fontId="12" fillId="5" borderId="0" xfId="4" applyNumberFormat="1" applyFont="1" applyFill="1" applyBorder="1" applyAlignment="1" applyProtection="1">
      <alignment shrinkToFit="1"/>
      <protection hidden="1"/>
    </xf>
    <xf numFmtId="168" fontId="12" fillId="5" borderId="1" xfId="4" applyFont="1" applyFill="1" applyBorder="1" applyAlignment="1" applyProtection="1">
      <alignment shrinkToFit="1"/>
      <protection hidden="1"/>
    </xf>
    <xf numFmtId="0" fontId="35" fillId="5" borderId="4" xfId="0" applyFont="1" applyFill="1" applyBorder="1" applyProtection="1">
      <protection hidden="1"/>
    </xf>
    <xf numFmtId="181" fontId="12" fillId="5" borderId="0" xfId="2" applyNumberFormat="1" applyFont="1" applyFill="1" applyBorder="1" applyAlignment="1" applyProtection="1">
      <alignment horizontal="right"/>
      <protection hidden="1"/>
    </xf>
    <xf numFmtId="0" fontId="0" fillId="4" borderId="0" xfId="0" applyFill="1" applyAlignment="1" applyProtection="1">
      <alignment shrinkToFit="1"/>
      <protection hidden="1"/>
    </xf>
    <xf numFmtId="168" fontId="11" fillId="5" borderId="7" xfId="4" applyFont="1" applyFill="1" applyBorder="1" applyProtection="1">
      <protection hidden="1"/>
    </xf>
    <xf numFmtId="168" fontId="12" fillId="5" borderId="7" xfId="4" applyFont="1" applyFill="1" applyBorder="1" applyProtection="1">
      <protection hidden="1"/>
    </xf>
    <xf numFmtId="0" fontId="11" fillId="5" borderId="6" xfId="0" applyFont="1" applyFill="1" applyBorder="1" applyProtection="1">
      <protection hidden="1"/>
    </xf>
    <xf numFmtId="0" fontId="11" fillId="5" borderId="2" xfId="0" applyFont="1" applyFill="1" applyBorder="1" applyProtection="1">
      <protection hidden="1"/>
    </xf>
    <xf numFmtId="0" fontId="11" fillId="5" borderId="3" xfId="0" applyFont="1" applyFill="1" applyBorder="1" applyProtection="1">
      <protection hidden="1"/>
    </xf>
    <xf numFmtId="168" fontId="11" fillId="5" borderId="0" xfId="4" applyFont="1" applyFill="1" applyBorder="1" applyAlignment="1" applyProtection="1">
      <alignment shrinkToFit="1"/>
      <protection hidden="1"/>
    </xf>
    <xf numFmtId="168" fontId="11" fillId="5" borderId="7" xfId="4" applyFont="1" applyFill="1" applyBorder="1" applyAlignment="1" applyProtection="1">
      <alignment shrinkToFit="1"/>
      <protection hidden="1"/>
    </xf>
    <xf numFmtId="10" fontId="11" fillId="5" borderId="0" xfId="6" applyNumberFormat="1" applyFont="1" applyFill="1" applyBorder="1" applyAlignment="1" applyProtection="1">
      <alignment horizontal="center"/>
      <protection hidden="1"/>
    </xf>
    <xf numFmtId="168" fontId="11" fillId="5" borderId="8" xfId="4" applyFont="1" applyFill="1" applyBorder="1" applyAlignment="1" applyProtection="1">
      <alignment shrinkToFit="1"/>
      <protection hidden="1"/>
    </xf>
    <xf numFmtId="0" fontId="11" fillId="5" borderId="5" xfId="0" applyFont="1" applyFill="1" applyBorder="1" applyProtection="1">
      <protection hidden="1"/>
    </xf>
    <xf numFmtId="0" fontId="11" fillId="5" borderId="1" xfId="0" applyFont="1" applyFill="1" applyBorder="1" applyProtection="1">
      <protection hidden="1"/>
    </xf>
    <xf numFmtId="166" fontId="12" fillId="5" borderId="21" xfId="0" applyNumberFormat="1" applyFont="1" applyFill="1" applyBorder="1" applyAlignment="1" applyProtection="1">
      <alignment shrinkToFit="1"/>
      <protection hidden="1"/>
    </xf>
    <xf numFmtId="0" fontId="11" fillId="5" borderId="1" xfId="0" applyFont="1" applyFill="1" applyBorder="1" applyAlignment="1" applyProtection="1">
      <alignment horizontal="right"/>
      <protection hidden="1"/>
    </xf>
    <xf numFmtId="0" fontId="11" fillId="0" borderId="1" xfId="0" applyFont="1" applyBorder="1" applyAlignment="1" applyProtection="1">
      <alignment horizontal="right"/>
      <protection hidden="1"/>
    </xf>
    <xf numFmtId="0" fontId="3" fillId="4" borderId="0" xfId="0" applyFont="1" applyFill="1" applyProtection="1">
      <protection hidden="1"/>
    </xf>
    <xf numFmtId="2" fontId="11" fillId="5" borderId="4" xfId="0" applyNumberFormat="1" applyFont="1" applyFill="1" applyBorder="1" applyProtection="1">
      <protection hidden="1"/>
    </xf>
    <xf numFmtId="39" fontId="11" fillId="5" borderId="0" xfId="2" applyNumberFormat="1" applyFont="1" applyFill="1" applyBorder="1" applyProtection="1">
      <protection hidden="1"/>
    </xf>
    <xf numFmtId="168" fontId="12" fillId="5" borderId="7" xfId="4" applyFont="1" applyFill="1" applyBorder="1" applyAlignment="1" applyProtection="1">
      <alignment horizontal="left" shrinkToFit="1"/>
      <protection hidden="1"/>
    </xf>
    <xf numFmtId="10" fontId="11" fillId="5" borderId="4" xfId="0" applyNumberFormat="1" applyFont="1" applyFill="1" applyBorder="1" applyProtection="1">
      <protection hidden="1"/>
    </xf>
    <xf numFmtId="10" fontId="11" fillId="5" borderId="0" xfId="2" applyNumberFormat="1" applyFont="1" applyFill="1" applyBorder="1" applyProtection="1">
      <protection hidden="1"/>
    </xf>
    <xf numFmtId="0" fontId="11" fillId="4" borderId="0" xfId="0" applyFont="1" applyFill="1" applyAlignment="1" applyProtection="1">
      <alignment horizontal="right"/>
      <protection hidden="1"/>
    </xf>
    <xf numFmtId="166" fontId="11" fillId="4" borderId="7" xfId="0" applyNumberFormat="1" applyFont="1" applyFill="1" applyBorder="1" applyProtection="1">
      <protection hidden="1"/>
    </xf>
    <xf numFmtId="10" fontId="11" fillId="5" borderId="0" xfId="0" applyNumberFormat="1" applyFont="1" applyFill="1" applyAlignment="1" applyProtection="1">
      <alignment horizontal="center"/>
      <protection hidden="1"/>
    </xf>
    <xf numFmtId="0" fontId="0" fillId="4" borderId="5" xfId="0" applyFill="1" applyBorder="1" applyProtection="1">
      <protection hidden="1"/>
    </xf>
    <xf numFmtId="10" fontId="11" fillId="5" borderId="1" xfId="0" applyNumberFormat="1" applyFont="1" applyFill="1" applyBorder="1" applyAlignment="1" applyProtection="1">
      <alignment horizontal="center"/>
      <protection hidden="1"/>
    </xf>
    <xf numFmtId="175" fontId="11" fillId="5" borderId="1" xfId="2" applyFont="1" applyFill="1" applyBorder="1" applyProtection="1">
      <protection hidden="1"/>
    </xf>
    <xf numFmtId="168" fontId="12" fillId="5" borderId="21" xfId="4" applyFont="1" applyFill="1" applyBorder="1" applyAlignment="1" applyProtection="1">
      <alignment shrinkToFit="1"/>
      <protection hidden="1"/>
    </xf>
    <xf numFmtId="175" fontId="11" fillId="5" borderId="0" xfId="2" applyFont="1" applyFill="1" applyBorder="1" applyProtection="1">
      <protection hidden="1"/>
    </xf>
    <xf numFmtId="175" fontId="11" fillId="5" borderId="2" xfId="2" applyFont="1" applyFill="1" applyBorder="1" applyProtection="1">
      <protection hidden="1"/>
    </xf>
    <xf numFmtId="168" fontId="12" fillId="5" borderId="3" xfId="4" applyFont="1" applyFill="1" applyBorder="1" applyAlignment="1" applyProtection="1">
      <alignment shrinkToFit="1"/>
      <protection hidden="1"/>
    </xf>
    <xf numFmtId="168" fontId="12" fillId="5" borderId="7" xfId="4" applyFont="1" applyFill="1" applyBorder="1" applyAlignment="1" applyProtection="1">
      <alignment shrinkToFit="1"/>
      <protection hidden="1"/>
    </xf>
    <xf numFmtId="183" fontId="12" fillId="5" borderId="0" xfId="4" applyNumberFormat="1" applyFont="1" applyFill="1" applyBorder="1" applyAlignment="1" applyProtection="1">
      <alignment shrinkToFit="1"/>
      <protection hidden="1"/>
    </xf>
    <xf numFmtId="168" fontId="20" fillId="5" borderId="7" xfId="4" applyFont="1" applyFill="1" applyBorder="1" applyAlignment="1" applyProtection="1">
      <alignment shrinkToFit="1"/>
      <protection hidden="1"/>
    </xf>
    <xf numFmtId="168" fontId="20" fillId="5" borderId="0" xfId="4" applyFont="1" applyFill="1" applyBorder="1" applyAlignment="1" applyProtection="1">
      <alignment shrinkToFit="1"/>
      <protection hidden="1"/>
    </xf>
    <xf numFmtId="168" fontId="20" fillId="5" borderId="8" xfId="4" applyFont="1" applyFill="1" applyBorder="1" applyAlignment="1" applyProtection="1">
      <alignment shrinkToFit="1"/>
      <protection hidden="1"/>
    </xf>
    <xf numFmtId="9" fontId="11" fillId="5" borderId="0" xfId="0" applyNumberFormat="1" applyFont="1" applyFill="1" applyAlignment="1" applyProtection="1">
      <alignment horizontal="right"/>
      <protection hidden="1"/>
    </xf>
    <xf numFmtId="0" fontId="0" fillId="4" borderId="0" xfId="0" applyFill="1" applyAlignment="1" applyProtection="1">
      <alignment horizontal="right"/>
      <protection hidden="1"/>
    </xf>
    <xf numFmtId="168" fontId="11" fillId="5" borderId="0" xfId="0" applyNumberFormat="1" applyFont="1" applyFill="1" applyAlignment="1" applyProtection="1">
      <alignment shrinkToFit="1"/>
      <protection hidden="1"/>
    </xf>
    <xf numFmtId="0" fontId="0" fillId="0" borderId="4" xfId="0" applyBorder="1" applyProtection="1">
      <protection hidden="1"/>
    </xf>
    <xf numFmtId="0" fontId="11" fillId="4" borderId="0" xfId="0" applyFont="1" applyFill="1" applyAlignment="1" applyProtection="1">
      <alignment horizontal="left"/>
      <protection hidden="1"/>
    </xf>
    <xf numFmtId="177" fontId="0" fillId="4" borderId="0" xfId="0" applyNumberFormat="1" applyFill="1" applyAlignment="1" applyProtection="1">
      <alignment horizontal="right"/>
      <protection hidden="1"/>
    </xf>
    <xf numFmtId="166" fontId="12" fillId="5" borderId="7" xfId="0" applyNumberFormat="1" applyFont="1" applyFill="1" applyBorder="1" applyAlignment="1" applyProtection="1">
      <alignment shrinkToFit="1"/>
      <protection hidden="1"/>
    </xf>
    <xf numFmtId="0" fontId="11" fillId="4" borderId="4" xfId="0" applyFont="1" applyFill="1" applyBorder="1" applyProtection="1">
      <protection hidden="1"/>
    </xf>
    <xf numFmtId="168" fontId="12" fillId="4" borderId="7" xfId="0" applyNumberFormat="1" applyFont="1" applyFill="1" applyBorder="1" applyAlignment="1" applyProtection="1">
      <alignment shrinkToFit="1"/>
      <protection hidden="1"/>
    </xf>
    <xf numFmtId="9" fontId="11" fillId="4" borderId="0" xfId="0" applyNumberFormat="1" applyFont="1" applyFill="1" applyProtection="1">
      <protection hidden="1"/>
    </xf>
    <xf numFmtId="166" fontId="11" fillId="4" borderId="0" xfId="0" applyNumberFormat="1" applyFont="1" applyFill="1" applyProtection="1">
      <protection hidden="1"/>
    </xf>
    <xf numFmtId="166" fontId="12" fillId="4" borderId="7" xfId="0" applyNumberFormat="1" applyFont="1" applyFill="1" applyBorder="1" applyProtection="1">
      <protection hidden="1"/>
    </xf>
    <xf numFmtId="0" fontId="11" fillId="4" borderId="0" xfId="0" applyFont="1" applyFill="1" applyAlignment="1" applyProtection="1">
      <alignment horizontal="center"/>
      <protection hidden="1"/>
    </xf>
    <xf numFmtId="0" fontId="0" fillId="0" borderId="1" xfId="0" applyBorder="1" applyProtection="1">
      <protection hidden="1"/>
    </xf>
    <xf numFmtId="9" fontId="11" fillId="5" borderId="4" xfId="0" applyNumberFormat="1" applyFont="1" applyFill="1" applyBorder="1" applyAlignment="1" applyProtection="1">
      <alignment horizontal="right"/>
      <protection hidden="1"/>
    </xf>
    <xf numFmtId="0" fontId="0" fillId="4" borderId="0" xfId="0" applyFill="1" applyAlignment="1" applyProtection="1">
      <alignment horizontal="center"/>
      <protection hidden="1"/>
    </xf>
    <xf numFmtId="168" fontId="11" fillId="4" borderId="0" xfId="0" applyNumberFormat="1" applyFont="1" applyFill="1" applyProtection="1">
      <protection hidden="1"/>
    </xf>
    <xf numFmtId="0" fontId="11" fillId="5" borderId="0" xfId="0" applyFont="1" applyFill="1" applyAlignment="1" applyProtection="1">
      <alignment horizontal="right"/>
      <protection hidden="1"/>
    </xf>
    <xf numFmtId="176" fontId="11" fillId="5" borderId="0" xfId="0" applyNumberFormat="1" applyFont="1" applyFill="1" applyAlignment="1" applyProtection="1">
      <alignment horizontal="right"/>
      <protection hidden="1"/>
    </xf>
    <xf numFmtId="0" fontId="0" fillId="4" borderId="1" xfId="0" applyFill="1" applyBorder="1" applyProtection="1">
      <protection hidden="1"/>
    </xf>
    <xf numFmtId="0" fontId="4" fillId="4" borderId="1" xfId="0" applyFont="1" applyFill="1" applyBorder="1" applyProtection="1">
      <protection hidden="1"/>
    </xf>
    <xf numFmtId="0" fontId="11" fillId="4" borderId="1" xfId="0" applyFont="1" applyFill="1" applyBorder="1" applyAlignment="1" applyProtection="1">
      <alignment horizontal="right"/>
      <protection hidden="1"/>
    </xf>
    <xf numFmtId="166" fontId="11" fillId="5" borderId="1" xfId="0" applyNumberFormat="1" applyFont="1" applyFill="1" applyBorder="1" applyAlignment="1" applyProtection="1">
      <alignment horizontal="left"/>
      <protection hidden="1"/>
    </xf>
    <xf numFmtId="166" fontId="12" fillId="5" borderId="20" xfId="0" applyNumberFormat="1" applyFont="1" applyFill="1" applyBorder="1" applyAlignment="1" applyProtection="1">
      <alignment shrinkToFit="1"/>
      <protection hidden="1"/>
    </xf>
    <xf numFmtId="0" fontId="18" fillId="5" borderId="57" xfId="0" applyFont="1" applyFill="1" applyBorder="1" applyProtection="1">
      <protection hidden="1"/>
    </xf>
    <xf numFmtId="0" fontId="12" fillId="5" borderId="24" xfId="0" applyFont="1" applyFill="1" applyBorder="1" applyProtection="1">
      <protection hidden="1"/>
    </xf>
    <xf numFmtId="0" fontId="0" fillId="0" borderId="24" xfId="0" applyBorder="1" applyProtection="1">
      <protection hidden="1"/>
    </xf>
    <xf numFmtId="168" fontId="18" fillId="5" borderId="24" xfId="0" applyNumberFormat="1" applyFont="1" applyFill="1" applyBorder="1" applyAlignment="1" applyProtection="1">
      <alignment horizontal="left" shrinkToFit="1"/>
      <protection hidden="1"/>
    </xf>
    <xf numFmtId="0" fontId="11" fillId="5" borderId="11" xfId="0" applyFont="1" applyFill="1" applyBorder="1" applyAlignment="1" applyProtection="1">
      <alignment horizontal="right"/>
      <protection hidden="1"/>
    </xf>
    <xf numFmtId="179" fontId="11" fillId="5" borderId="11" xfId="0" applyNumberFormat="1" applyFont="1" applyFill="1" applyBorder="1" applyProtection="1">
      <protection hidden="1"/>
    </xf>
    <xf numFmtId="0" fontId="11" fillId="5" borderId="11" xfId="0" applyFont="1" applyFill="1" applyBorder="1" applyProtection="1">
      <protection hidden="1"/>
    </xf>
    <xf numFmtId="0" fontId="0" fillId="4" borderId="13" xfId="0" applyFill="1" applyBorder="1" applyProtection="1">
      <protection hidden="1"/>
    </xf>
    <xf numFmtId="0" fontId="36" fillId="5" borderId="4" xfId="0" applyFont="1" applyFill="1" applyBorder="1" applyProtection="1">
      <protection hidden="1"/>
    </xf>
    <xf numFmtId="168" fontId="11" fillId="5" borderId="0" xfId="0" applyNumberFormat="1" applyFont="1" applyFill="1" applyAlignment="1" applyProtection="1">
      <alignment horizontal="left"/>
      <protection hidden="1"/>
    </xf>
    <xf numFmtId="0" fontId="11" fillId="4" borderId="7" xfId="0" applyFont="1" applyFill="1" applyBorder="1" applyProtection="1">
      <protection hidden="1"/>
    </xf>
    <xf numFmtId="0" fontId="11" fillId="5" borderId="41" xfId="0" applyFont="1" applyFill="1" applyBorder="1" applyAlignment="1" applyProtection="1">
      <alignment horizontal="left"/>
      <protection hidden="1"/>
    </xf>
    <xf numFmtId="0" fontId="11" fillId="5" borderId="20" xfId="0" applyFont="1" applyFill="1" applyBorder="1" applyProtection="1">
      <protection hidden="1"/>
    </xf>
    <xf numFmtId="0" fontId="11" fillId="5" borderId="21" xfId="0" applyFont="1" applyFill="1" applyBorder="1" applyAlignment="1" applyProtection="1">
      <alignment horizontal="center"/>
      <protection hidden="1"/>
    </xf>
    <xf numFmtId="186" fontId="11" fillId="5" borderId="41" xfId="0" applyNumberFormat="1" applyFont="1" applyFill="1" applyBorder="1" applyAlignment="1" applyProtection="1">
      <alignment horizontal="left"/>
      <protection hidden="1"/>
    </xf>
    <xf numFmtId="186" fontId="12" fillId="5" borderId="21" xfId="0" applyNumberFormat="1" applyFont="1" applyFill="1" applyBorder="1" applyAlignment="1" applyProtection="1">
      <alignment horizontal="center"/>
      <protection hidden="1"/>
    </xf>
    <xf numFmtId="168" fontId="12" fillId="5" borderId="41" xfId="2" applyNumberFormat="1" applyFont="1" applyFill="1" applyBorder="1" applyAlignment="1" applyProtection="1">
      <alignment horizontal="center"/>
      <protection hidden="1"/>
    </xf>
    <xf numFmtId="168" fontId="12" fillId="5" borderId="20" xfId="2" applyNumberFormat="1" applyFont="1" applyFill="1" applyBorder="1" applyAlignment="1" applyProtection="1">
      <alignment horizontal="center"/>
      <protection hidden="1"/>
    </xf>
    <xf numFmtId="176" fontId="12" fillId="5" borderId="20" xfId="0" applyNumberFormat="1" applyFont="1" applyFill="1" applyBorder="1" applyAlignment="1" applyProtection="1">
      <alignment horizontal="left"/>
      <protection hidden="1"/>
    </xf>
    <xf numFmtId="0" fontId="11" fillId="4" borderId="20" xfId="0" applyFont="1" applyFill="1" applyBorder="1" applyProtection="1">
      <protection hidden="1"/>
    </xf>
    <xf numFmtId="0" fontId="4" fillId="4" borderId="0" xfId="0" applyFont="1" applyFill="1" applyAlignment="1" applyProtection="1">
      <alignment horizontal="left"/>
      <protection hidden="1"/>
    </xf>
    <xf numFmtId="0" fontId="4" fillId="4" borderId="0" xfId="0" applyFont="1" applyFill="1" applyProtection="1">
      <protection hidden="1"/>
    </xf>
    <xf numFmtId="0" fontId="0" fillId="4" borderId="0" xfId="0" applyFill="1" applyAlignment="1" applyProtection="1">
      <alignment horizontal="left"/>
      <protection hidden="1"/>
    </xf>
    <xf numFmtId="0" fontId="5" fillId="4" borderId="0" xfId="0" applyFont="1" applyFill="1" applyProtection="1">
      <protection hidden="1"/>
    </xf>
    <xf numFmtId="0" fontId="4" fillId="4" borderId="0" xfId="0" applyFont="1" applyFill="1" applyAlignment="1" applyProtection="1">
      <alignment horizontal="right"/>
      <protection hidden="1"/>
    </xf>
    <xf numFmtId="0" fontId="30" fillId="4" borderId="0" xfId="0" applyFont="1" applyFill="1" applyAlignment="1" applyProtection="1">
      <alignment horizontal="left"/>
      <protection hidden="1"/>
    </xf>
    <xf numFmtId="0" fontId="30" fillId="4" borderId="0" xfId="0" applyFont="1" applyFill="1" applyProtection="1">
      <protection hidden="1"/>
    </xf>
    <xf numFmtId="176" fontId="30" fillId="4" borderId="0" xfId="0" applyNumberFormat="1" applyFont="1" applyFill="1" applyProtection="1">
      <protection hidden="1"/>
    </xf>
    <xf numFmtId="0" fontId="30" fillId="4" borderId="0" xfId="0" applyFont="1" applyFill="1" applyAlignment="1" applyProtection="1">
      <alignment horizontal="right"/>
      <protection hidden="1"/>
    </xf>
    <xf numFmtId="176" fontId="30" fillId="4" borderId="0" xfId="0" applyNumberFormat="1" applyFont="1" applyFill="1" applyAlignment="1" applyProtection="1">
      <alignment horizontal="left"/>
      <protection hidden="1"/>
    </xf>
    <xf numFmtId="176" fontId="29" fillId="4" borderId="0" xfId="0" applyNumberFormat="1" applyFont="1" applyFill="1" applyAlignment="1" applyProtection="1">
      <alignment horizontal="center"/>
      <protection hidden="1"/>
    </xf>
    <xf numFmtId="3" fontId="30" fillId="4" borderId="0" xfId="0" applyNumberFormat="1" applyFont="1" applyFill="1" applyProtection="1">
      <protection hidden="1"/>
    </xf>
    <xf numFmtId="0" fontId="31" fillId="4" borderId="0" xfId="0" applyFont="1" applyFill="1" applyAlignment="1" applyProtection="1">
      <alignment horizontal="right"/>
      <protection hidden="1"/>
    </xf>
    <xf numFmtId="0" fontId="31" fillId="4" borderId="0" xfId="0" applyFont="1" applyFill="1" applyProtection="1">
      <protection hidden="1"/>
    </xf>
    <xf numFmtId="176" fontId="29" fillId="4" borderId="0" xfId="0" applyNumberFormat="1" applyFont="1" applyFill="1" applyAlignment="1" applyProtection="1">
      <alignment horizontal="left"/>
      <protection hidden="1"/>
    </xf>
    <xf numFmtId="0" fontId="30" fillId="4" borderId="0" xfId="0" applyFont="1" applyFill="1" applyAlignment="1" applyProtection="1">
      <alignment horizontal="center"/>
      <protection hidden="1"/>
    </xf>
    <xf numFmtId="49" fontId="30" fillId="4" borderId="0" xfId="0" applyNumberFormat="1" applyFont="1" applyFill="1" applyAlignment="1" applyProtection="1">
      <alignment horizontal="center"/>
      <protection hidden="1"/>
    </xf>
    <xf numFmtId="0" fontId="29" fillId="4" borderId="0" xfId="0" applyFont="1" applyFill="1" applyProtection="1">
      <protection hidden="1"/>
    </xf>
    <xf numFmtId="0" fontId="32" fillId="4" borderId="0" xfId="0" applyFont="1" applyFill="1" applyProtection="1">
      <protection hidden="1"/>
    </xf>
    <xf numFmtId="176" fontId="29" fillId="4" borderId="0" xfId="0" applyNumberFormat="1" applyFont="1" applyFill="1" applyProtection="1">
      <protection hidden="1"/>
    </xf>
    <xf numFmtId="177" fontId="3" fillId="4" borderId="0" xfId="0" applyNumberFormat="1" applyFont="1" applyFill="1" applyProtection="1">
      <protection hidden="1"/>
    </xf>
    <xf numFmtId="49" fontId="30" fillId="4" borderId="0" xfId="0" applyNumberFormat="1" applyFont="1" applyFill="1" applyAlignment="1" applyProtection="1">
      <alignment horizontal="left"/>
      <protection hidden="1"/>
    </xf>
    <xf numFmtId="49" fontId="30" fillId="4" borderId="0" xfId="0" applyNumberFormat="1" applyFont="1" applyFill="1" applyProtection="1">
      <protection hidden="1"/>
    </xf>
    <xf numFmtId="0" fontId="32" fillId="4" borderId="0" xfId="0" applyFont="1" applyFill="1" applyAlignment="1" applyProtection="1">
      <alignment horizontal="left"/>
      <protection hidden="1"/>
    </xf>
    <xf numFmtId="0" fontId="1" fillId="4" borderId="0" xfId="0" applyFont="1" applyFill="1" applyProtection="1">
      <protection hidden="1"/>
    </xf>
    <xf numFmtId="0" fontId="1" fillId="4" borderId="0" xfId="0" applyFont="1" applyFill="1" applyAlignment="1" applyProtection="1">
      <alignment horizontal="left"/>
      <protection hidden="1"/>
    </xf>
    <xf numFmtId="185" fontId="29" fillId="4" borderId="0" xfId="0" applyNumberFormat="1" applyFont="1" applyFill="1" applyAlignment="1" applyProtection="1">
      <alignment horizontal="left" shrinkToFit="1"/>
      <protection hidden="1"/>
    </xf>
    <xf numFmtId="178" fontId="30" fillId="4" borderId="0" xfId="0" applyNumberFormat="1" applyFont="1" applyFill="1" applyAlignment="1" applyProtection="1">
      <alignment horizontal="center"/>
      <protection hidden="1"/>
    </xf>
    <xf numFmtId="0" fontId="1" fillId="4" borderId="6" xfId="0" applyFont="1" applyFill="1" applyBorder="1" applyProtection="1">
      <protection hidden="1"/>
    </xf>
    <xf numFmtId="0" fontId="30" fillId="4" borderId="2" xfId="0" applyFont="1" applyFill="1" applyBorder="1" applyProtection="1">
      <protection hidden="1"/>
    </xf>
    <xf numFmtId="0" fontId="1" fillId="4" borderId="4" xfId="0" applyFont="1" applyFill="1" applyBorder="1" applyProtection="1">
      <protection hidden="1"/>
    </xf>
    <xf numFmtId="0" fontId="29" fillId="4" borderId="0" xfId="0" applyFont="1" applyFill="1" applyAlignment="1" applyProtection="1">
      <alignment horizontal="right"/>
      <protection hidden="1"/>
    </xf>
    <xf numFmtId="0" fontId="30" fillId="0" borderId="0" xfId="0" applyFont="1" applyAlignment="1" applyProtection="1">
      <alignment horizontal="left"/>
      <protection hidden="1"/>
    </xf>
    <xf numFmtId="0" fontId="1" fillId="4" borderId="5" xfId="0" applyFont="1" applyFill="1" applyBorder="1" applyProtection="1">
      <protection hidden="1"/>
    </xf>
    <xf numFmtId="0" fontId="1" fillId="4" borderId="1" xfId="0" applyFont="1" applyFill="1" applyBorder="1" applyProtection="1">
      <protection hidden="1"/>
    </xf>
    <xf numFmtId="0" fontId="30" fillId="5" borderId="0" xfId="0" applyFont="1" applyFill="1" applyAlignment="1" applyProtection="1">
      <alignment horizontal="left"/>
      <protection hidden="1"/>
    </xf>
    <xf numFmtId="0" fontId="30" fillId="4" borderId="1" xfId="0" applyFont="1" applyFill="1" applyBorder="1" applyProtection="1">
      <protection hidden="1"/>
    </xf>
    <xf numFmtId="0" fontId="20" fillId="4" borderId="0" xfId="0" applyFont="1" applyFill="1" applyAlignment="1" applyProtection="1">
      <alignment horizontal="center"/>
      <protection hidden="1"/>
    </xf>
    <xf numFmtId="176" fontId="57" fillId="4" borderId="0" xfId="0" applyNumberFormat="1" applyFont="1" applyFill="1" applyAlignment="1" applyProtection="1">
      <alignment horizontal="center"/>
      <protection hidden="1"/>
    </xf>
    <xf numFmtId="0" fontId="20" fillId="4" borderId="0" xfId="0" applyFont="1" applyFill="1" applyAlignment="1" applyProtection="1">
      <alignment horizontal="right"/>
      <protection hidden="1"/>
    </xf>
    <xf numFmtId="0" fontId="28" fillId="4" borderId="0" xfId="0" applyFont="1" applyFill="1" applyAlignment="1" applyProtection="1">
      <alignment horizontal="right"/>
      <protection hidden="1"/>
    </xf>
    <xf numFmtId="1" fontId="30" fillId="4" borderId="0" xfId="0" applyNumberFormat="1" applyFont="1" applyFill="1" applyAlignment="1" applyProtection="1">
      <alignment horizontal="left"/>
      <protection hidden="1"/>
    </xf>
    <xf numFmtId="177" fontId="0" fillId="4" borderId="0" xfId="0" applyNumberFormat="1" applyFill="1" applyProtection="1">
      <protection hidden="1"/>
    </xf>
    <xf numFmtId="177" fontId="29" fillId="4" borderId="0" xfId="0" applyNumberFormat="1" applyFont="1" applyFill="1" applyProtection="1">
      <protection hidden="1"/>
    </xf>
    <xf numFmtId="0" fontId="30" fillId="4" borderId="3" xfId="0" applyFont="1" applyFill="1" applyBorder="1" applyProtection="1">
      <protection hidden="1"/>
    </xf>
    <xf numFmtId="0" fontId="30" fillId="4" borderId="4" xfId="0" applyFont="1" applyFill="1" applyBorder="1" applyProtection="1">
      <protection hidden="1"/>
    </xf>
    <xf numFmtId="0" fontId="30" fillId="4" borderId="7" xfId="0" applyFont="1" applyFill="1" applyBorder="1" applyProtection="1">
      <protection hidden="1"/>
    </xf>
    <xf numFmtId="177" fontId="29" fillId="4" borderId="7" xfId="0" applyNumberFormat="1" applyFont="1" applyFill="1" applyBorder="1" applyAlignment="1" applyProtection="1">
      <alignment horizontal="right" shrinkToFit="1"/>
      <protection hidden="1"/>
    </xf>
    <xf numFmtId="0" fontId="30" fillId="4" borderId="8" xfId="0" applyFont="1" applyFill="1" applyBorder="1" applyProtection="1">
      <protection hidden="1"/>
    </xf>
    <xf numFmtId="170" fontId="30" fillId="4" borderId="0" xfId="0" applyNumberFormat="1" applyFont="1" applyFill="1" applyAlignment="1" applyProtection="1">
      <alignment horizontal="center"/>
      <protection hidden="1"/>
    </xf>
    <xf numFmtId="0" fontId="30" fillId="0" borderId="0" xfId="0" applyFont="1" applyProtection="1">
      <protection hidden="1"/>
    </xf>
    <xf numFmtId="0" fontId="33" fillId="4" borderId="0" xfId="0" applyFont="1" applyFill="1" applyProtection="1">
      <protection hidden="1"/>
    </xf>
    <xf numFmtId="0" fontId="34" fillId="4" borderId="0" xfId="0" applyFont="1" applyFill="1" applyProtection="1">
      <protection hidden="1"/>
    </xf>
    <xf numFmtId="0" fontId="29" fillId="5" borderId="0" xfId="0" applyFont="1" applyFill="1" applyProtection="1">
      <protection hidden="1"/>
    </xf>
    <xf numFmtId="0" fontId="30" fillId="5" borderId="0" xfId="0" applyFont="1" applyFill="1" applyProtection="1">
      <protection hidden="1"/>
    </xf>
    <xf numFmtId="0" fontId="31" fillId="5" borderId="0" xfId="0" applyFont="1" applyFill="1" applyProtection="1">
      <protection hidden="1"/>
    </xf>
    <xf numFmtId="0" fontId="20" fillId="4" borderId="0" xfId="0" applyFont="1" applyFill="1" applyProtection="1">
      <protection hidden="1"/>
    </xf>
    <xf numFmtId="0" fontId="0" fillId="4" borderId="0" xfId="0" applyFill="1" applyAlignment="1" applyProtection="1">
      <alignment horizontal="center" wrapText="1"/>
      <protection hidden="1"/>
    </xf>
    <xf numFmtId="0" fontId="59" fillId="4" borderId="0" xfId="0" applyFont="1" applyFill="1" applyAlignment="1" applyProtection="1">
      <alignment horizontal="center"/>
      <protection hidden="1"/>
    </xf>
    <xf numFmtId="0" fontId="60" fillId="4" borderId="0" xfId="0" applyFont="1" applyFill="1" applyAlignment="1" applyProtection="1">
      <alignment horizontal="center"/>
      <protection hidden="1"/>
    </xf>
    <xf numFmtId="0" fontId="61" fillId="4" borderId="0" xfId="0" applyFont="1" applyFill="1" applyAlignment="1" applyProtection="1">
      <alignment horizontal="center"/>
      <protection hidden="1"/>
    </xf>
    <xf numFmtId="0" fontId="59" fillId="4" borderId="0" xfId="0" applyFont="1" applyFill="1" applyProtection="1">
      <protection hidden="1"/>
    </xf>
    <xf numFmtId="0" fontId="62" fillId="4" borderId="0" xfId="0" applyFont="1" applyFill="1" applyProtection="1">
      <protection hidden="1"/>
    </xf>
    <xf numFmtId="0" fontId="63" fillId="4" borderId="0" xfId="0" applyFont="1" applyFill="1" applyAlignment="1" applyProtection="1">
      <alignment horizontal="left"/>
      <protection hidden="1"/>
    </xf>
    <xf numFmtId="0" fontId="59" fillId="4" borderId="0" xfId="0" applyFont="1" applyFill="1" applyAlignment="1" applyProtection="1">
      <alignment horizontal="left" wrapText="1"/>
      <protection hidden="1"/>
    </xf>
    <xf numFmtId="0" fontId="59" fillId="4" borderId="0" xfId="0" applyFont="1" applyFill="1" applyAlignment="1" applyProtection="1">
      <alignment wrapText="1"/>
      <protection hidden="1"/>
    </xf>
    <xf numFmtId="0" fontId="11" fillId="4" borderId="0" xfId="0" applyFont="1" applyFill="1" applyProtection="1">
      <protection locked="0"/>
    </xf>
    <xf numFmtId="0" fontId="0" fillId="4" borderId="0" xfId="0" applyFill="1" applyProtection="1">
      <protection locked="0"/>
    </xf>
    <xf numFmtId="0" fontId="4" fillId="2" borderId="22" xfId="0" applyFont="1" applyFill="1" applyBorder="1" applyProtection="1">
      <protection hidden="1"/>
    </xf>
    <xf numFmtId="168" fontId="5" fillId="2" borderId="20" xfId="0" applyNumberFormat="1" applyFont="1" applyFill="1" applyBorder="1" applyProtection="1">
      <protection hidden="1"/>
    </xf>
    <xf numFmtId="0" fontId="11" fillId="2" borderId="41" xfId="0" applyFont="1" applyFill="1" applyBorder="1" applyProtection="1">
      <protection hidden="1"/>
    </xf>
    <xf numFmtId="168" fontId="5" fillId="2" borderId="20" xfId="0" applyNumberFormat="1" applyFont="1" applyFill="1" applyBorder="1" applyAlignment="1" applyProtection="1">
      <alignment horizontal="right"/>
      <protection hidden="1"/>
    </xf>
    <xf numFmtId="0" fontId="64" fillId="7" borderId="46" xfId="0" applyFont="1" applyFill="1" applyBorder="1" applyProtection="1">
      <protection hidden="1"/>
    </xf>
    <xf numFmtId="0" fontId="64" fillId="7" borderId="39" xfId="0" applyFont="1" applyFill="1" applyBorder="1" applyProtection="1">
      <protection hidden="1"/>
    </xf>
    <xf numFmtId="0" fontId="65" fillId="4" borderId="0" xfId="0" applyFont="1" applyFill="1" applyProtection="1">
      <protection hidden="1"/>
    </xf>
    <xf numFmtId="0" fontId="66" fillId="4" borderId="53" xfId="0" applyFont="1" applyFill="1" applyBorder="1" applyAlignment="1">
      <alignment horizontal="center"/>
    </xf>
    <xf numFmtId="14" fontId="67" fillId="0" borderId="58" xfId="0" applyNumberFormat="1" applyFont="1" applyBorder="1" applyAlignment="1">
      <alignment horizontal="center"/>
    </xf>
    <xf numFmtId="49" fontId="39" fillId="4" borderId="0" xfId="0" applyNumberFormat="1" applyFont="1" applyFill="1" applyAlignment="1" applyProtection="1">
      <alignment horizontal="right"/>
      <protection locked="0"/>
    </xf>
    <xf numFmtId="0" fontId="2" fillId="4" borderId="0" xfId="0" applyFont="1" applyFill="1" applyProtection="1">
      <protection locked="0"/>
    </xf>
    <xf numFmtId="0" fontId="54" fillId="4" borderId="0" xfId="0" applyFont="1" applyFill="1" applyProtection="1">
      <protection hidden="1"/>
    </xf>
    <xf numFmtId="0" fontId="54" fillId="4" borderId="0" xfId="0" applyFont="1" applyFill="1" applyAlignment="1" applyProtection="1">
      <alignment horizontal="left"/>
      <protection hidden="1"/>
    </xf>
    <xf numFmtId="14" fontId="54" fillId="4" borderId="0" xfId="0" applyNumberFormat="1" applyFont="1" applyFill="1" applyAlignment="1" applyProtection="1">
      <alignment horizontal="left"/>
      <protection hidden="1"/>
    </xf>
    <xf numFmtId="3" fontId="54" fillId="4" borderId="0" xfId="0" applyNumberFormat="1" applyFont="1" applyFill="1" applyAlignment="1" applyProtection="1">
      <alignment horizontal="left"/>
      <protection hidden="1"/>
    </xf>
    <xf numFmtId="1" fontId="54" fillId="4" borderId="0" xfId="0" applyNumberFormat="1" applyFont="1" applyFill="1" applyProtection="1">
      <protection hidden="1"/>
    </xf>
    <xf numFmtId="3" fontId="54" fillId="4" borderId="0" xfId="0" applyNumberFormat="1" applyFont="1" applyFill="1" applyProtection="1">
      <protection hidden="1"/>
    </xf>
    <xf numFmtId="49" fontId="54" fillId="4" borderId="0" xfId="0" applyNumberFormat="1" applyFont="1" applyFill="1" applyProtection="1">
      <protection hidden="1"/>
    </xf>
    <xf numFmtId="181" fontId="54" fillId="4" borderId="0" xfId="0" applyNumberFormat="1" applyFont="1" applyFill="1" applyProtection="1">
      <protection hidden="1"/>
    </xf>
    <xf numFmtId="49" fontId="54" fillId="5" borderId="0" xfId="0" applyNumberFormat="1" applyFont="1" applyFill="1" applyAlignment="1" applyProtection="1">
      <alignment horizontal="left"/>
      <protection hidden="1"/>
    </xf>
    <xf numFmtId="0" fontId="54" fillId="5" borderId="0" xfId="0" applyFont="1" applyFill="1" applyProtection="1">
      <protection hidden="1"/>
    </xf>
    <xf numFmtId="169" fontId="54" fillId="5" borderId="0" xfId="0" applyNumberFormat="1" applyFont="1" applyFill="1" applyAlignment="1" applyProtection="1">
      <alignment horizontal="left"/>
      <protection hidden="1"/>
    </xf>
    <xf numFmtId="0" fontId="54" fillId="4" borderId="0" xfId="0" applyFont="1" applyFill="1" applyAlignment="1" applyProtection="1">
      <alignment horizontal="center"/>
      <protection hidden="1"/>
    </xf>
    <xf numFmtId="0" fontId="54" fillId="4" borderId="0" xfId="0" applyFont="1" applyFill="1" applyAlignment="1" applyProtection="1">
      <alignment horizontal="center" readingOrder="1"/>
      <protection hidden="1"/>
    </xf>
    <xf numFmtId="0" fontId="54" fillId="4" borderId="0" xfId="0" applyFont="1" applyFill="1" applyAlignment="1" applyProtection="1">
      <alignment horizontal="right"/>
      <protection hidden="1"/>
    </xf>
    <xf numFmtId="0" fontId="54" fillId="4" borderId="0" xfId="0" applyFont="1" applyFill="1" applyAlignment="1" applyProtection="1">
      <alignment horizontal="left" readingOrder="1"/>
      <protection hidden="1"/>
    </xf>
    <xf numFmtId="9" fontId="72" fillId="4" borderId="0" xfId="0" applyNumberFormat="1" applyFont="1" applyFill="1" applyAlignment="1" applyProtection="1">
      <alignment horizontal="left"/>
      <protection hidden="1"/>
    </xf>
    <xf numFmtId="9" fontId="11" fillId="4" borderId="0" xfId="0" applyNumberFormat="1" applyFont="1" applyFill="1" applyAlignment="1" applyProtection="1">
      <alignment horizontal="left"/>
      <protection hidden="1"/>
    </xf>
    <xf numFmtId="168" fontId="4" fillId="2" borderId="0" xfId="0" applyNumberFormat="1" applyFont="1" applyFill="1" applyAlignment="1" applyProtection="1">
      <alignment horizontal="center"/>
      <protection hidden="1"/>
    </xf>
    <xf numFmtId="0" fontId="12" fillId="5" borderId="4" xfId="0" applyFont="1" applyFill="1" applyBorder="1" applyAlignment="1" applyProtection="1">
      <alignment horizontal="right"/>
      <protection hidden="1"/>
    </xf>
    <xf numFmtId="0" fontId="18" fillId="5" borderId="20" xfId="0" applyFont="1" applyFill="1" applyBorder="1" applyAlignment="1" applyProtection="1">
      <alignment horizontal="left"/>
      <protection locked="0"/>
    </xf>
    <xf numFmtId="0" fontId="18" fillId="5" borderId="41" xfId="0" applyFont="1" applyFill="1" applyBorder="1"/>
    <xf numFmtId="0" fontId="0" fillId="3" borderId="45" xfId="0" applyFill="1" applyBorder="1" applyProtection="1">
      <protection hidden="1"/>
    </xf>
    <xf numFmtId="0" fontId="54" fillId="4" borderId="0" xfId="0" applyFont="1" applyFill="1"/>
    <xf numFmtId="0" fontId="54" fillId="0" borderId="0" xfId="0" applyFont="1"/>
    <xf numFmtId="49" fontId="54" fillId="5" borderId="0" xfId="0" applyNumberFormat="1" applyFont="1" applyFill="1" applyAlignment="1">
      <alignment horizontal="left"/>
    </xf>
    <xf numFmtId="0" fontId="24" fillId="7" borderId="45" xfId="0" applyFont="1" applyFill="1" applyBorder="1" applyProtection="1">
      <protection hidden="1"/>
    </xf>
    <xf numFmtId="0" fontId="24" fillId="7" borderId="46" xfId="0" applyFont="1" applyFill="1" applyBorder="1" applyProtection="1">
      <protection hidden="1"/>
    </xf>
    <xf numFmtId="0" fontId="24" fillId="7" borderId="0" xfId="0" applyFont="1" applyFill="1" applyProtection="1">
      <protection hidden="1"/>
    </xf>
    <xf numFmtId="0" fontId="24" fillId="7" borderId="0" xfId="0" applyFont="1" applyFill="1"/>
    <xf numFmtId="0" fontId="24" fillId="7" borderId="39" xfId="0" applyFont="1" applyFill="1" applyBorder="1" applyProtection="1">
      <protection hidden="1"/>
    </xf>
    <xf numFmtId="0" fontId="73" fillId="3" borderId="0" xfId="0" applyFont="1" applyFill="1"/>
    <xf numFmtId="0" fontId="74" fillId="3" borderId="0" xfId="0" applyFont="1" applyFill="1" applyProtection="1">
      <protection hidden="1"/>
    </xf>
    <xf numFmtId="0" fontId="0" fillId="7" borderId="10" xfId="0" applyFill="1" applyBorder="1" applyProtection="1">
      <protection hidden="1"/>
    </xf>
    <xf numFmtId="0" fontId="7" fillId="7" borderId="11" xfId="0" applyFont="1" applyFill="1" applyBorder="1" applyProtection="1">
      <protection hidden="1"/>
    </xf>
    <xf numFmtId="0" fontId="4" fillId="7" borderId="14" xfId="0" applyFont="1" applyFill="1" applyBorder="1" applyProtection="1">
      <protection hidden="1"/>
    </xf>
    <xf numFmtId="0" fontId="72" fillId="8" borderId="0" xfId="0" applyFont="1" applyFill="1"/>
    <xf numFmtId="0" fontId="11" fillId="8" borderId="0" xfId="0" applyFont="1" applyFill="1"/>
    <xf numFmtId="0" fontId="0" fillId="3" borderId="43" xfId="0" applyFill="1" applyBorder="1" applyAlignment="1" applyProtection="1">
      <alignment horizontal="right" wrapText="1"/>
      <protection hidden="1"/>
    </xf>
    <xf numFmtId="0" fontId="75" fillId="3" borderId="10" xfId="0" applyFont="1" applyFill="1" applyBorder="1" applyProtection="1">
      <protection hidden="1"/>
    </xf>
    <xf numFmtId="0" fontId="72" fillId="3" borderId="10" xfId="0" applyFont="1" applyFill="1" applyBorder="1" applyProtection="1">
      <protection hidden="1"/>
    </xf>
    <xf numFmtId="0" fontId="68" fillId="3" borderId="10" xfId="0" applyFont="1" applyFill="1" applyBorder="1" applyProtection="1">
      <protection hidden="1"/>
    </xf>
    <xf numFmtId="0" fontId="68" fillId="3" borderId="11" xfId="0" applyFont="1" applyFill="1" applyBorder="1" applyProtection="1">
      <protection hidden="1"/>
    </xf>
    <xf numFmtId="0" fontId="3" fillId="3" borderId="0" xfId="0" applyFont="1" applyFill="1"/>
    <xf numFmtId="0" fontId="3" fillId="3" borderId="10" xfId="0" applyFont="1" applyFill="1" applyBorder="1"/>
    <xf numFmtId="0" fontId="9" fillId="5" borderId="23" xfId="0" applyFont="1" applyFill="1" applyBorder="1" applyAlignment="1" applyProtection="1">
      <alignment horizontal="left"/>
      <protection hidden="1"/>
    </xf>
    <xf numFmtId="0" fontId="9" fillId="5" borderId="50" xfId="0" applyFont="1" applyFill="1" applyBorder="1" applyAlignment="1" applyProtection="1">
      <alignment horizontal="left"/>
      <protection hidden="1"/>
    </xf>
    <xf numFmtId="0" fontId="1" fillId="3" borderId="0" xfId="0" applyFont="1" applyFill="1" applyProtection="1">
      <protection hidden="1"/>
    </xf>
    <xf numFmtId="0" fontId="74" fillId="7" borderId="0" xfId="0" applyFont="1" applyFill="1" applyProtection="1">
      <protection hidden="1"/>
    </xf>
    <xf numFmtId="0" fontId="3" fillId="7" borderId="0" xfId="0" applyFont="1" applyFill="1"/>
    <xf numFmtId="0" fontId="0" fillId="7" borderId="0" xfId="0" applyFill="1"/>
    <xf numFmtId="0" fontId="3" fillId="7" borderId="10" xfId="0" applyFont="1" applyFill="1" applyBorder="1" applyProtection="1">
      <protection hidden="1"/>
    </xf>
    <xf numFmtId="0" fontId="3" fillId="7" borderId="14" xfId="0" applyFont="1" applyFill="1" applyBorder="1"/>
    <xf numFmtId="0" fontId="46" fillId="3" borderId="0" xfId="0" applyFont="1" applyFill="1" applyAlignment="1" applyProtection="1">
      <alignment horizontal="center"/>
      <protection hidden="1"/>
    </xf>
    <xf numFmtId="0" fontId="3" fillId="3" borderId="11" xfId="0" applyFont="1" applyFill="1" applyBorder="1"/>
    <xf numFmtId="168" fontId="76" fillId="3" borderId="14" xfId="0" applyNumberFormat="1" applyFont="1" applyFill="1" applyBorder="1"/>
    <xf numFmtId="0" fontId="0" fillId="4" borderId="59" xfId="0" applyFill="1" applyBorder="1" applyProtection="1">
      <protection locked="0"/>
    </xf>
    <xf numFmtId="0" fontId="0" fillId="4" borderId="60" xfId="0" applyFill="1" applyBorder="1" applyProtection="1">
      <protection locked="0"/>
    </xf>
    <xf numFmtId="0" fontId="8" fillId="4" borderId="61" xfId="0" applyFont="1" applyFill="1" applyBorder="1" applyProtection="1">
      <protection locked="0"/>
    </xf>
    <xf numFmtId="0" fontId="72" fillId="3" borderId="16" xfId="0" applyFont="1" applyFill="1" applyBorder="1"/>
    <xf numFmtId="0" fontId="0" fillId="3" borderId="54" xfId="0" applyFill="1" applyBorder="1"/>
    <xf numFmtId="0" fontId="72" fillId="3" borderId="19" xfId="0" applyFont="1" applyFill="1" applyBorder="1"/>
    <xf numFmtId="0" fontId="0" fillId="3" borderId="38" xfId="0" applyFill="1" applyBorder="1"/>
    <xf numFmtId="0" fontId="8" fillId="3" borderId="42" xfId="0" applyFont="1" applyFill="1" applyBorder="1" applyAlignment="1">
      <alignment horizontal="left"/>
    </xf>
    <xf numFmtId="0" fontId="69" fillId="3" borderId="62" xfId="0" applyFont="1" applyFill="1" applyBorder="1"/>
    <xf numFmtId="0" fontId="9" fillId="3" borderId="0" xfId="0" applyFont="1" applyFill="1"/>
    <xf numFmtId="0" fontId="7" fillId="2" borderId="0" xfId="0" applyFont="1" applyFill="1" applyProtection="1">
      <protection hidden="1"/>
    </xf>
    <xf numFmtId="168" fontId="5" fillId="2" borderId="0" xfId="0" applyNumberFormat="1" applyFont="1" applyFill="1" applyProtection="1">
      <protection hidden="1"/>
    </xf>
    <xf numFmtId="0" fontId="0" fillId="3" borderId="24" xfId="0" applyFill="1" applyBorder="1" applyAlignment="1" applyProtection="1">
      <alignment horizontal="left"/>
      <protection hidden="1"/>
    </xf>
    <xf numFmtId="0" fontId="0" fillId="3" borderId="24" xfId="0" applyFill="1" applyBorder="1" applyAlignment="1" applyProtection="1">
      <alignment horizontal="right"/>
      <protection hidden="1"/>
    </xf>
    <xf numFmtId="0" fontId="77" fillId="0" borderId="0" xfId="0" applyFont="1" applyAlignment="1">
      <alignment shrinkToFit="1"/>
    </xf>
    <xf numFmtId="0" fontId="3" fillId="6" borderId="0" xfId="0" applyFont="1" applyFill="1" applyAlignment="1" applyProtection="1">
      <alignment shrinkToFit="1"/>
      <protection hidden="1"/>
    </xf>
    <xf numFmtId="0" fontId="3" fillId="4" borderId="0" xfId="0" applyFont="1" applyFill="1" applyAlignment="1">
      <alignment horizontal="right"/>
    </xf>
    <xf numFmtId="0" fontId="0" fillId="7" borderId="27" xfId="0" applyFill="1" applyBorder="1" applyProtection="1">
      <protection hidden="1"/>
    </xf>
    <xf numFmtId="179" fontId="54" fillId="4" borderId="0" xfId="0" applyNumberFormat="1" applyFont="1" applyFill="1" applyProtection="1">
      <protection hidden="1"/>
    </xf>
    <xf numFmtId="2" fontId="54" fillId="4" borderId="0" xfId="0" applyNumberFormat="1" applyFont="1" applyFill="1" applyProtection="1">
      <protection hidden="1"/>
    </xf>
    <xf numFmtId="10" fontId="12" fillId="5" borderId="0" xfId="0" applyNumberFormat="1" applyFont="1" applyFill="1" applyAlignment="1">
      <alignment shrinkToFit="1"/>
    </xf>
    <xf numFmtId="0" fontId="77" fillId="0" borderId="0" xfId="0" applyFont="1"/>
    <xf numFmtId="0" fontId="17" fillId="9" borderId="0" xfId="0" applyFont="1" applyFill="1" applyAlignment="1">
      <alignment horizontal="left"/>
    </xf>
    <xf numFmtId="0" fontId="17" fillId="9" borderId="24" xfId="0" applyFont="1" applyFill="1" applyBorder="1" applyAlignment="1">
      <alignment horizontal="left"/>
    </xf>
    <xf numFmtId="0" fontId="3" fillId="10" borderId="45" xfId="0" applyFont="1" applyFill="1" applyBorder="1"/>
    <xf numFmtId="0" fontId="0" fillId="9" borderId="46" xfId="0" applyFill="1" applyBorder="1"/>
    <xf numFmtId="0" fontId="2" fillId="10" borderId="46" xfId="0" applyFont="1" applyFill="1" applyBorder="1"/>
    <xf numFmtId="0" fontId="0" fillId="10" borderId="46" xfId="0" applyFill="1" applyBorder="1"/>
    <xf numFmtId="0" fontId="78" fillId="9" borderId="46" xfId="0" applyFont="1" applyFill="1" applyBorder="1"/>
    <xf numFmtId="0" fontId="0" fillId="9" borderId="47" xfId="0" applyFill="1" applyBorder="1"/>
    <xf numFmtId="0" fontId="0" fillId="9" borderId="23" xfId="0" applyFill="1" applyBorder="1"/>
    <xf numFmtId="0" fontId="0" fillId="9" borderId="24" xfId="0" applyFill="1" applyBorder="1"/>
    <xf numFmtId="0" fontId="3" fillId="9" borderId="24" xfId="0" applyFont="1" applyFill="1" applyBorder="1"/>
    <xf numFmtId="0" fontId="2" fillId="10" borderId="24" xfId="0" applyFont="1" applyFill="1" applyBorder="1"/>
    <xf numFmtId="0" fontId="0" fillId="10" borderId="24" xfId="0" applyFill="1" applyBorder="1"/>
    <xf numFmtId="0" fontId="78" fillId="9" borderId="24" xfId="0" applyFont="1" applyFill="1" applyBorder="1"/>
    <xf numFmtId="0" fontId="0" fillId="9" borderId="50" xfId="0" applyFill="1" applyBorder="1"/>
    <xf numFmtId="0" fontId="1" fillId="9" borderId="46" xfId="0" applyFont="1" applyFill="1" applyBorder="1"/>
    <xf numFmtId="0" fontId="1" fillId="9" borderId="47" xfId="0" applyFont="1" applyFill="1" applyBorder="1"/>
    <xf numFmtId="0" fontId="1" fillId="9" borderId="0" xfId="0" applyFont="1" applyFill="1"/>
    <xf numFmtId="0" fontId="24" fillId="9" borderId="0" xfId="0" applyFont="1" applyFill="1" applyAlignment="1">
      <alignment horizontal="left"/>
    </xf>
    <xf numFmtId="0" fontId="1" fillId="9" borderId="48" xfId="0" applyFont="1" applyFill="1" applyBorder="1"/>
    <xf numFmtId="0" fontId="1" fillId="9" borderId="24" xfId="0" applyFont="1" applyFill="1" applyBorder="1"/>
    <xf numFmtId="0" fontId="24" fillId="9" borderId="24" xfId="0" applyFont="1" applyFill="1" applyBorder="1" applyAlignment="1">
      <alignment horizontal="left"/>
    </xf>
    <xf numFmtId="0" fontId="1" fillId="9" borderId="50" xfId="0" applyFont="1" applyFill="1" applyBorder="1"/>
    <xf numFmtId="0" fontId="2" fillId="9" borderId="45" xfId="0" applyFont="1" applyFill="1" applyBorder="1" applyAlignment="1">
      <alignment horizontal="left"/>
    </xf>
    <xf numFmtId="0" fontId="2" fillId="9" borderId="39" xfId="0" applyFont="1" applyFill="1" applyBorder="1" applyAlignment="1">
      <alignment horizontal="left"/>
    </xf>
    <xf numFmtId="0" fontId="2" fillId="9" borderId="23" xfId="0" applyFont="1" applyFill="1" applyBorder="1" applyAlignment="1">
      <alignment horizontal="left"/>
    </xf>
    <xf numFmtId="0" fontId="1" fillId="3" borderId="0" xfId="0" applyFont="1" applyFill="1"/>
    <xf numFmtId="171" fontId="2" fillId="2" borderId="39" xfId="1" applyNumberFormat="1" applyFont="1" applyFill="1" applyBorder="1" applyProtection="1">
      <protection hidden="1"/>
    </xf>
    <xf numFmtId="166" fontId="0" fillId="3" borderId="0" xfId="0" applyNumberFormat="1" applyFill="1" applyAlignment="1" applyProtection="1">
      <alignment horizontal="center"/>
      <protection hidden="1"/>
    </xf>
    <xf numFmtId="0" fontId="1" fillId="2" borderId="0" xfId="0" applyFont="1" applyFill="1" applyAlignment="1" applyProtection="1">
      <alignment shrinkToFit="1"/>
      <protection hidden="1"/>
    </xf>
    <xf numFmtId="168" fontId="12" fillId="2" borderId="38" xfId="0" applyNumberFormat="1" applyFont="1" applyFill="1" applyBorder="1" applyAlignment="1" applyProtection="1">
      <alignment horizontal="right"/>
      <protection hidden="1"/>
    </xf>
    <xf numFmtId="166" fontId="7" fillId="6" borderId="48" xfId="3" applyFont="1" applyFill="1" applyBorder="1" applyAlignment="1" applyProtection="1">
      <alignment horizontal="left" shrinkToFit="1"/>
      <protection hidden="1"/>
    </xf>
    <xf numFmtId="0" fontId="0" fillId="3" borderId="2" xfId="0" applyFill="1" applyBorder="1"/>
    <xf numFmtId="0" fontId="0" fillId="3" borderId="0" xfId="0" applyFill="1" applyAlignment="1">
      <alignment shrinkToFit="1"/>
    </xf>
    <xf numFmtId="0" fontId="7" fillId="6" borderId="39" xfId="0" applyFont="1" applyFill="1" applyBorder="1" applyProtection="1">
      <protection hidden="1"/>
    </xf>
    <xf numFmtId="171" fontId="2" fillId="2" borderId="0" xfId="1" applyNumberFormat="1" applyFont="1" applyFill="1" applyBorder="1" applyProtection="1">
      <protection hidden="1"/>
    </xf>
    <xf numFmtId="0" fontId="0" fillId="6" borderId="27" xfId="0" applyFill="1" applyBorder="1" applyProtection="1">
      <protection hidden="1"/>
    </xf>
    <xf numFmtId="10" fontId="5" fillId="2" borderId="0" xfId="0" applyNumberFormat="1" applyFont="1" applyFill="1" applyAlignment="1" applyProtection="1">
      <alignment horizontal="center"/>
      <protection hidden="1"/>
    </xf>
    <xf numFmtId="0" fontId="9" fillId="5" borderId="10" xfId="0" applyFont="1" applyFill="1" applyBorder="1" applyAlignment="1" applyProtection="1">
      <alignment horizontal="left"/>
      <protection hidden="1"/>
    </xf>
    <xf numFmtId="0" fontId="9" fillId="5" borderId="14" xfId="0" applyFont="1" applyFill="1" applyBorder="1" applyAlignment="1" applyProtection="1">
      <alignment horizontal="left"/>
      <protection hidden="1"/>
    </xf>
    <xf numFmtId="168" fontId="5" fillId="2" borderId="51" xfId="0" applyNumberFormat="1" applyFont="1" applyFill="1" applyBorder="1" applyAlignment="1" applyProtection="1">
      <alignment horizontal="right"/>
      <protection hidden="1"/>
    </xf>
    <xf numFmtId="1" fontId="50" fillId="2" borderId="0" xfId="0" applyNumberFormat="1" applyFont="1" applyFill="1" applyAlignment="1" applyProtection="1">
      <alignment horizontal="left"/>
      <protection hidden="1"/>
    </xf>
    <xf numFmtId="0" fontId="11" fillId="5" borderId="4" xfId="0" applyFont="1" applyFill="1" applyBorder="1" applyAlignment="1" applyProtection="1">
      <alignment horizontal="center"/>
      <protection hidden="1"/>
    </xf>
    <xf numFmtId="175" fontId="80" fillId="4" borderId="0" xfId="0" applyNumberFormat="1" applyFont="1" applyFill="1" applyAlignment="1">
      <alignment horizontal="center" shrinkToFit="1"/>
    </xf>
    <xf numFmtId="175" fontId="2" fillId="4" borderId="0" xfId="0" applyNumberFormat="1" applyFont="1" applyFill="1" applyAlignment="1">
      <alignment horizontal="center" shrinkToFit="1"/>
    </xf>
    <xf numFmtId="168" fontId="12" fillId="5" borderId="0" xfId="2" applyNumberFormat="1" applyFont="1" applyFill="1" applyBorder="1" applyAlignment="1" applyProtection="1">
      <alignment horizontal="right" shrinkToFit="1"/>
      <protection hidden="1"/>
    </xf>
    <xf numFmtId="0" fontId="81" fillId="4" borderId="0" xfId="0" applyFont="1" applyFill="1"/>
    <xf numFmtId="0" fontId="35" fillId="4" borderId="0" xfId="0" applyFont="1" applyFill="1" applyProtection="1">
      <protection hidden="1"/>
    </xf>
    <xf numFmtId="168" fontId="12" fillId="5" borderId="0" xfId="4" applyFont="1" applyFill="1" applyBorder="1" applyProtection="1">
      <protection hidden="1"/>
    </xf>
    <xf numFmtId="10" fontId="12" fillId="5" borderId="0" xfId="0" applyNumberFormat="1" applyFont="1" applyFill="1" applyAlignment="1" applyProtection="1">
      <alignment horizontal="left"/>
      <protection hidden="1"/>
    </xf>
    <xf numFmtId="0" fontId="68" fillId="0" borderId="0" xfId="0" applyFont="1"/>
    <xf numFmtId="0" fontId="82" fillId="0" borderId="0" xfId="0" applyFont="1" applyAlignment="1">
      <alignment horizontal="center"/>
    </xf>
    <xf numFmtId="0" fontId="68" fillId="0" borderId="89" xfId="0" applyFont="1" applyBorder="1"/>
    <xf numFmtId="190" fontId="68" fillId="0" borderId="89" xfId="0" applyNumberFormat="1" applyFont="1" applyBorder="1"/>
    <xf numFmtId="190" fontId="68" fillId="0" borderId="90" xfId="0" applyNumberFormat="1" applyFont="1" applyBorder="1"/>
    <xf numFmtId="0" fontId="68" fillId="0" borderId="91" xfId="0" applyFont="1" applyBorder="1"/>
    <xf numFmtId="190" fontId="68" fillId="0" borderId="91" xfId="0" applyNumberFormat="1" applyFont="1" applyBorder="1"/>
    <xf numFmtId="190" fontId="68" fillId="0" borderId="92" xfId="0" applyNumberFormat="1" applyFont="1" applyBorder="1"/>
    <xf numFmtId="168" fontId="76" fillId="0" borderId="93" xfId="0" applyNumberFormat="1" applyFont="1" applyBorder="1"/>
    <xf numFmtId="0" fontId="76" fillId="0" borderId="94" xfId="0" applyFont="1" applyBorder="1" applyAlignment="1">
      <alignment horizontal="center"/>
    </xf>
    <xf numFmtId="0" fontId="76" fillId="0" borderId="95" xfId="0" applyFont="1" applyBorder="1" applyAlignment="1">
      <alignment horizontal="center"/>
    </xf>
    <xf numFmtId="0" fontId="76" fillId="0" borderId="93" xfId="0" applyFont="1" applyBorder="1" applyAlignment="1">
      <alignment horizontal="center"/>
    </xf>
    <xf numFmtId="168" fontId="68" fillId="0" borderId="94" xfId="0" applyNumberFormat="1" applyFont="1" applyBorder="1"/>
    <xf numFmtId="168" fontId="68" fillId="0" borderId="95" xfId="0" applyNumberFormat="1" applyFont="1" applyBorder="1"/>
    <xf numFmtId="2" fontId="68" fillId="0" borderId="95" xfId="0" applyNumberFormat="1" applyFont="1" applyBorder="1" applyAlignment="1">
      <alignment horizontal="center"/>
    </xf>
    <xf numFmtId="168" fontId="68" fillId="0" borderId="93" xfId="0" applyNumberFormat="1" applyFont="1" applyBorder="1"/>
    <xf numFmtId="168" fontId="68" fillId="0" borderId="96" xfId="0" applyNumberFormat="1" applyFont="1" applyBorder="1"/>
    <xf numFmtId="168" fontId="76" fillId="0" borderId="97" xfId="0" applyNumberFormat="1" applyFont="1" applyBorder="1"/>
    <xf numFmtId="2" fontId="68" fillId="0" borderId="97" xfId="0" applyNumberFormat="1" applyFont="1" applyBorder="1" applyAlignment="1">
      <alignment horizontal="center"/>
    </xf>
    <xf numFmtId="168" fontId="68" fillId="0" borderId="97" xfId="0" applyNumberFormat="1" applyFont="1" applyBorder="1"/>
    <xf numFmtId="168" fontId="68" fillId="0" borderId="98" xfId="0" applyNumberFormat="1" applyFont="1" applyBorder="1"/>
    <xf numFmtId="168" fontId="68" fillId="0" borderId="10" xfId="0" applyNumberFormat="1" applyFont="1" applyBorder="1"/>
    <xf numFmtId="168" fontId="68" fillId="0" borderId="11" xfId="0" applyNumberFormat="1" applyFont="1" applyBorder="1"/>
    <xf numFmtId="0" fontId="68" fillId="0" borderId="11" xfId="0" applyFont="1" applyBorder="1" applyAlignment="1">
      <alignment horizontal="center"/>
    </xf>
    <xf numFmtId="168" fontId="76" fillId="0" borderId="11" xfId="0" applyNumberFormat="1" applyFont="1" applyBorder="1"/>
    <xf numFmtId="168" fontId="76" fillId="0" borderId="14" xfId="0" applyNumberFormat="1" applyFont="1" applyBorder="1"/>
    <xf numFmtId="168" fontId="76" fillId="13" borderId="99" xfId="0" applyNumberFormat="1" applyFont="1" applyFill="1" applyBorder="1"/>
    <xf numFmtId="2" fontId="68" fillId="0" borderId="100" xfId="0" applyNumberFormat="1" applyFont="1" applyBorder="1"/>
    <xf numFmtId="2" fontId="68" fillId="0" borderId="91" xfId="0" applyNumberFormat="1" applyFont="1" applyBorder="1"/>
    <xf numFmtId="0" fontId="1" fillId="4" borderId="88" xfId="7" applyFill="1" applyBorder="1" applyProtection="1">
      <protection hidden="1"/>
    </xf>
    <xf numFmtId="0" fontId="1" fillId="4" borderId="87" xfId="7" applyFill="1" applyBorder="1" applyProtection="1">
      <protection hidden="1"/>
    </xf>
    <xf numFmtId="0" fontId="1" fillId="4" borderId="86" xfId="7" applyFill="1" applyBorder="1" applyProtection="1">
      <protection hidden="1"/>
    </xf>
    <xf numFmtId="0" fontId="1" fillId="4" borderId="79" xfId="7" applyFill="1" applyBorder="1" applyProtection="1">
      <protection hidden="1"/>
    </xf>
    <xf numFmtId="0" fontId="1" fillId="4" borderId="0" xfId="7" applyFill="1" applyProtection="1">
      <protection hidden="1"/>
    </xf>
    <xf numFmtId="0" fontId="1" fillId="4" borderId="78" xfId="7" applyFill="1" applyBorder="1" applyProtection="1">
      <protection hidden="1"/>
    </xf>
    <xf numFmtId="0" fontId="1" fillId="4" borderId="77" xfId="7" applyFill="1" applyBorder="1" applyProtection="1">
      <protection hidden="1"/>
    </xf>
    <xf numFmtId="0" fontId="1" fillId="4" borderId="76" xfId="7" applyFill="1" applyBorder="1" applyProtection="1">
      <protection hidden="1"/>
    </xf>
    <xf numFmtId="0" fontId="1" fillId="4" borderId="75" xfId="7" applyFill="1" applyBorder="1" applyProtection="1">
      <protection hidden="1"/>
    </xf>
    <xf numFmtId="0" fontId="52" fillId="4" borderId="0" xfId="7" applyFont="1" applyFill="1" applyAlignment="1" applyProtection="1">
      <alignment horizontal="left"/>
      <protection hidden="1"/>
    </xf>
    <xf numFmtId="0" fontId="1" fillId="4" borderId="0" xfId="7" applyFill="1" applyAlignment="1" applyProtection="1">
      <alignment horizontal="left"/>
      <protection hidden="1"/>
    </xf>
    <xf numFmtId="0" fontId="3" fillId="4" borderId="0" xfId="7" applyFont="1" applyFill="1" applyProtection="1">
      <protection hidden="1"/>
    </xf>
    <xf numFmtId="0" fontId="1" fillId="3" borderId="0" xfId="7" applyFill="1" applyProtection="1">
      <protection hidden="1"/>
    </xf>
    <xf numFmtId="0" fontId="1" fillId="3" borderId="0" xfId="7" applyFill="1" applyAlignment="1" applyProtection="1">
      <alignment horizontal="right"/>
      <protection hidden="1"/>
    </xf>
    <xf numFmtId="0" fontId="1" fillId="4" borderId="85" xfId="7" applyFill="1" applyBorder="1" applyProtection="1">
      <protection hidden="1"/>
    </xf>
    <xf numFmtId="0" fontId="1" fillId="3" borderId="0" xfId="7" quotePrefix="1" applyFill="1" applyAlignment="1" applyProtection="1">
      <alignment horizontal="center"/>
      <protection hidden="1"/>
    </xf>
    <xf numFmtId="176" fontId="4" fillId="4" borderId="0" xfId="0" applyNumberFormat="1" applyFont="1" applyFill="1" applyAlignment="1">
      <alignment horizontal="center"/>
    </xf>
    <xf numFmtId="0" fontId="28" fillId="4" borderId="0" xfId="0" applyFont="1" applyFill="1" applyAlignment="1">
      <alignment horizontal="center"/>
    </xf>
    <xf numFmtId="0" fontId="0" fillId="4" borderId="2" xfId="0" applyFill="1" applyBorder="1" applyAlignment="1">
      <alignment horizontal="center"/>
    </xf>
    <xf numFmtId="0" fontId="29" fillId="4" borderId="0" xfId="0" applyFont="1" applyFill="1" applyAlignment="1">
      <alignment horizontal="center"/>
    </xf>
    <xf numFmtId="183" fontId="5" fillId="5" borderId="45" xfId="0" applyNumberFormat="1" applyFont="1" applyFill="1" applyBorder="1" applyAlignment="1" applyProtection="1">
      <alignment horizontal="center"/>
      <protection locked="0"/>
    </xf>
    <xf numFmtId="183" fontId="5" fillId="5" borderId="46" xfId="0" applyNumberFormat="1" applyFont="1" applyFill="1" applyBorder="1" applyAlignment="1" applyProtection="1">
      <alignment horizontal="center"/>
      <protection locked="0"/>
    </xf>
    <xf numFmtId="183" fontId="5" fillId="5" borderId="47" xfId="0" applyNumberFormat="1" applyFont="1" applyFill="1" applyBorder="1" applyAlignment="1" applyProtection="1">
      <alignment horizontal="center"/>
      <protection locked="0"/>
    </xf>
    <xf numFmtId="183" fontId="3" fillId="4" borderId="10" xfId="0" applyNumberFormat="1" applyFont="1" applyFill="1" applyBorder="1" applyProtection="1">
      <protection locked="0"/>
    </xf>
    <xf numFmtId="183" fontId="3" fillId="4" borderId="11" xfId="0" applyNumberFormat="1" applyFont="1" applyFill="1" applyBorder="1" applyProtection="1">
      <protection locked="0"/>
    </xf>
    <xf numFmtId="183" fontId="3" fillId="4" borderId="14" xfId="0" applyNumberFormat="1" applyFont="1" applyFill="1" applyBorder="1" applyProtection="1">
      <protection locked="0"/>
    </xf>
    <xf numFmtId="183" fontId="5" fillId="5" borderId="23" xfId="0" applyNumberFormat="1" applyFont="1" applyFill="1" applyBorder="1" applyAlignment="1" applyProtection="1">
      <alignment horizontal="center"/>
      <protection locked="0"/>
    </xf>
    <xf numFmtId="183" fontId="5" fillId="5" borderId="24" xfId="0" applyNumberFormat="1" applyFont="1" applyFill="1" applyBorder="1" applyAlignment="1" applyProtection="1">
      <alignment horizontal="center"/>
      <protection locked="0"/>
    </xf>
    <xf numFmtId="183" fontId="5" fillId="5" borderId="50" xfId="0" applyNumberFormat="1" applyFont="1" applyFill="1" applyBorder="1" applyAlignment="1" applyProtection="1">
      <alignment horizontal="center"/>
      <protection locked="0"/>
    </xf>
    <xf numFmtId="0" fontId="3" fillId="5" borderId="20" xfId="0" applyFont="1" applyFill="1" applyBorder="1" applyAlignment="1" applyProtection="1">
      <alignment horizontal="left"/>
      <protection locked="0"/>
    </xf>
    <xf numFmtId="0" fontId="3" fillId="5" borderId="21" xfId="0" applyFont="1" applyFill="1" applyBorder="1" applyAlignment="1" applyProtection="1">
      <alignment horizontal="left"/>
      <protection locked="0"/>
    </xf>
    <xf numFmtId="0" fontId="3" fillId="5" borderId="29" xfId="0" applyFont="1" applyFill="1" applyBorder="1" applyAlignment="1" applyProtection="1">
      <alignment horizontal="left"/>
      <protection locked="0"/>
    </xf>
    <xf numFmtId="0" fontId="3" fillId="5" borderId="68" xfId="0" applyFont="1" applyFill="1" applyBorder="1" applyAlignment="1" applyProtection="1">
      <alignment horizontal="left"/>
      <protection locked="0"/>
    </xf>
    <xf numFmtId="0" fontId="3" fillId="3" borderId="11" xfId="0" applyFont="1" applyFill="1" applyBorder="1" applyAlignment="1" applyProtection="1">
      <alignment horizontal="center"/>
      <protection hidden="1"/>
    </xf>
    <xf numFmtId="0" fontId="9" fillId="5" borderId="10" xfId="0" applyFont="1" applyFill="1" applyBorder="1" applyAlignment="1" applyProtection="1">
      <alignment horizontal="left"/>
      <protection hidden="1"/>
    </xf>
    <xf numFmtId="0" fontId="9" fillId="5" borderId="14" xfId="0" applyFont="1" applyFill="1" applyBorder="1" applyAlignment="1" applyProtection="1">
      <alignment horizontal="left"/>
      <protection hidden="1"/>
    </xf>
    <xf numFmtId="166" fontId="4" fillId="2" borderId="0" xfId="3" applyFont="1" applyFill="1" applyBorder="1" applyAlignment="1" applyProtection="1">
      <alignment horizontal="left" shrinkToFit="1"/>
      <protection hidden="1"/>
    </xf>
    <xf numFmtId="166" fontId="4" fillId="2" borderId="48" xfId="3" applyFont="1" applyFill="1" applyBorder="1" applyAlignment="1" applyProtection="1">
      <alignment horizontal="left" shrinkToFit="1"/>
      <protection hidden="1"/>
    </xf>
    <xf numFmtId="168" fontId="11" fillId="2" borderId="24" xfId="0" applyNumberFormat="1" applyFont="1" applyFill="1" applyBorder="1" applyAlignment="1" applyProtection="1">
      <alignment horizontal="left" shrinkToFit="1"/>
      <protection hidden="1"/>
    </xf>
    <xf numFmtId="168" fontId="11" fillId="2" borderId="50" xfId="0" applyNumberFormat="1" applyFont="1" applyFill="1" applyBorder="1" applyAlignment="1" applyProtection="1">
      <alignment horizontal="left" shrinkToFit="1"/>
      <protection hidden="1"/>
    </xf>
    <xf numFmtId="166" fontId="3" fillId="2" borderId="41" xfId="3" applyFont="1" applyFill="1" applyBorder="1" applyAlignment="1" applyProtection="1">
      <alignment horizontal="left" shrinkToFit="1"/>
      <protection hidden="1"/>
    </xf>
    <xf numFmtId="166" fontId="3" fillId="2" borderId="9" xfId="3" applyFont="1" applyFill="1" applyBorder="1" applyAlignment="1" applyProtection="1">
      <alignment horizontal="left" shrinkToFit="1"/>
      <protection hidden="1"/>
    </xf>
    <xf numFmtId="166" fontId="3" fillId="2" borderId="38" xfId="3" applyFont="1" applyFill="1" applyBorder="1" applyAlignment="1" applyProtection="1">
      <alignment horizontal="left" shrinkToFit="1"/>
      <protection hidden="1"/>
    </xf>
    <xf numFmtId="168" fontId="9" fillId="2" borderId="0" xfId="0" applyNumberFormat="1" applyFont="1" applyFill="1" applyAlignment="1" applyProtection="1">
      <alignment horizontal="center"/>
      <protection hidden="1"/>
    </xf>
    <xf numFmtId="168" fontId="9" fillId="2" borderId="48" xfId="0" applyNumberFormat="1" applyFont="1" applyFill="1" applyBorder="1" applyAlignment="1" applyProtection="1">
      <alignment horizontal="center"/>
      <protection hidden="1"/>
    </xf>
    <xf numFmtId="166" fontId="3" fillId="2" borderId="0" xfId="3" applyFont="1" applyFill="1" applyBorder="1" applyAlignment="1" applyProtection="1">
      <alignment horizontal="left" shrinkToFit="1"/>
      <protection hidden="1"/>
    </xf>
    <xf numFmtId="166" fontId="3" fillId="2" borderId="48" xfId="3" applyFont="1" applyFill="1" applyBorder="1" applyAlignment="1" applyProtection="1">
      <alignment horizontal="left" shrinkToFit="1"/>
      <protection hidden="1"/>
    </xf>
    <xf numFmtId="168" fontId="11" fillId="3" borderId="0" xfId="0" applyNumberFormat="1" applyFont="1" applyFill="1" applyAlignment="1" applyProtection="1">
      <alignment horizontal="left" shrinkToFit="1"/>
      <protection hidden="1"/>
    </xf>
    <xf numFmtId="168" fontId="11" fillId="3" borderId="48" xfId="0" applyNumberFormat="1" applyFont="1" applyFill="1" applyBorder="1" applyAlignment="1" applyProtection="1">
      <alignment horizontal="left" shrinkToFit="1"/>
      <protection hidden="1"/>
    </xf>
    <xf numFmtId="2" fontId="3" fillId="5" borderId="10" xfId="0" applyNumberFormat="1" applyFont="1" applyFill="1" applyBorder="1" applyAlignment="1" applyProtection="1">
      <alignment horizontal="center"/>
      <protection locked="0"/>
    </xf>
    <xf numFmtId="2" fontId="3" fillId="5" borderId="11" xfId="0" applyNumberFormat="1" applyFont="1" applyFill="1" applyBorder="1" applyAlignment="1" applyProtection="1">
      <alignment horizontal="center"/>
      <protection locked="0"/>
    </xf>
    <xf numFmtId="4" fontId="3" fillId="5" borderId="71" xfId="1" applyNumberFormat="1" applyFont="1" applyFill="1" applyBorder="1" applyAlignment="1" applyProtection="1">
      <alignment horizontal="right"/>
      <protection locked="0"/>
    </xf>
    <xf numFmtId="4" fontId="3" fillId="5" borderId="18" xfId="1" applyNumberFormat="1" applyFont="1" applyFill="1" applyBorder="1" applyAlignment="1" applyProtection="1">
      <alignment horizontal="right"/>
      <protection locked="0"/>
    </xf>
    <xf numFmtId="4" fontId="3" fillId="5" borderId="32" xfId="1" applyNumberFormat="1" applyFont="1" applyFill="1" applyBorder="1" applyAlignment="1" applyProtection="1">
      <alignment horizontal="right"/>
      <protection locked="0"/>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4" xfId="0" applyFont="1" applyFill="1" applyBorder="1" applyAlignment="1">
      <alignment horizontal="center"/>
    </xf>
    <xf numFmtId="0" fontId="2" fillId="3" borderId="39" xfId="0" applyFont="1" applyFill="1" applyBorder="1" applyAlignment="1" applyProtection="1">
      <alignment horizontal="left"/>
      <protection hidden="1"/>
    </xf>
    <xf numFmtId="0" fontId="2" fillId="3" borderId="0" xfId="0" applyFont="1" applyFill="1" applyAlignment="1" applyProtection="1">
      <alignment horizontal="left"/>
      <protection hidden="1"/>
    </xf>
    <xf numFmtId="0" fontId="2" fillId="3" borderId="48" xfId="0" applyFont="1" applyFill="1" applyBorder="1" applyAlignment="1" applyProtection="1">
      <alignment horizontal="left"/>
      <protection hidden="1"/>
    </xf>
    <xf numFmtId="4" fontId="3" fillId="5" borderId="68" xfId="1" applyNumberFormat="1" applyFont="1" applyFill="1" applyBorder="1" applyAlignment="1" applyProtection="1">
      <alignment horizontal="right"/>
      <protection locked="0"/>
    </xf>
    <xf numFmtId="4" fontId="3" fillId="5" borderId="21" xfId="1" applyNumberFormat="1" applyFont="1" applyFill="1" applyBorder="1" applyAlignment="1" applyProtection="1">
      <alignment horizontal="right"/>
      <protection locked="0"/>
    </xf>
    <xf numFmtId="4" fontId="3" fillId="5" borderId="29" xfId="1" applyNumberFormat="1" applyFont="1" applyFill="1" applyBorder="1" applyAlignment="1" applyProtection="1">
      <alignment horizontal="right"/>
      <protection locked="0"/>
    </xf>
    <xf numFmtId="2" fontId="3" fillId="5" borderId="70" xfId="0" applyNumberFormat="1" applyFont="1" applyFill="1" applyBorder="1" applyAlignment="1" applyProtection="1">
      <alignment horizontal="right"/>
      <protection locked="0"/>
    </xf>
    <xf numFmtId="2" fontId="3" fillId="5" borderId="25" xfId="0" applyNumberFormat="1" applyFont="1" applyFill="1" applyBorder="1" applyAlignment="1" applyProtection="1">
      <alignment horizontal="right"/>
      <protection locked="0"/>
    </xf>
    <xf numFmtId="2" fontId="3" fillId="5" borderId="30" xfId="0" applyNumberFormat="1" applyFont="1" applyFill="1" applyBorder="1" applyAlignment="1" applyProtection="1">
      <alignment horizontal="right"/>
      <protection locked="0"/>
    </xf>
    <xf numFmtId="0" fontId="0" fillId="3" borderId="10" xfId="0" applyFill="1" applyBorder="1" applyAlignment="1">
      <alignment horizontal="center"/>
    </xf>
    <xf numFmtId="0" fontId="0" fillId="3" borderId="11" xfId="0" applyFill="1" applyBorder="1" applyAlignment="1">
      <alignment horizontal="center"/>
    </xf>
    <xf numFmtId="0" fontId="0" fillId="3" borderId="14" xfId="0" applyFill="1" applyBorder="1" applyAlignment="1">
      <alignment horizontal="center"/>
    </xf>
    <xf numFmtId="189" fontId="3" fillId="4" borderId="10" xfId="0" applyNumberFormat="1" applyFont="1" applyFill="1" applyBorder="1" applyAlignment="1" applyProtection="1">
      <alignment horizontal="center" wrapText="1"/>
      <protection locked="0"/>
    </xf>
    <xf numFmtId="189" fontId="3" fillId="4" borderId="11" xfId="0" applyNumberFormat="1" applyFont="1" applyFill="1" applyBorder="1" applyAlignment="1" applyProtection="1">
      <alignment horizontal="center" wrapText="1"/>
      <protection locked="0"/>
    </xf>
    <xf numFmtId="189" fontId="3" fillId="4" borderId="14" xfId="0" applyNumberFormat="1" applyFont="1" applyFill="1" applyBorder="1" applyAlignment="1" applyProtection="1">
      <alignment horizontal="center" wrapText="1"/>
      <protection locked="0"/>
    </xf>
    <xf numFmtId="172" fontId="3" fillId="4" borderId="67" xfId="0" applyNumberFormat="1" applyFont="1" applyFill="1" applyBorder="1" applyAlignment="1" applyProtection="1">
      <alignment horizontal="center"/>
      <protection locked="0"/>
    </xf>
    <xf numFmtId="172" fontId="3" fillId="4" borderId="11" xfId="0" applyNumberFormat="1" applyFont="1" applyFill="1" applyBorder="1" applyAlignment="1" applyProtection="1">
      <alignment horizontal="center"/>
      <protection locked="0"/>
    </xf>
    <xf numFmtId="172" fontId="3" fillId="4" borderId="14" xfId="0" applyNumberFormat="1" applyFont="1" applyFill="1" applyBorder="1" applyAlignment="1" applyProtection="1">
      <alignment horizontal="center"/>
      <protection locked="0"/>
    </xf>
    <xf numFmtId="164" fontId="3" fillId="4" borderId="72" xfId="0" applyNumberFormat="1" applyFont="1" applyFill="1" applyBorder="1" applyAlignment="1" applyProtection="1">
      <alignment horizontal="center"/>
      <protection locked="0"/>
    </xf>
    <xf numFmtId="164" fontId="3" fillId="4" borderId="46" xfId="0" applyNumberFormat="1" applyFont="1" applyFill="1" applyBorder="1" applyAlignment="1" applyProtection="1">
      <alignment horizontal="center"/>
      <protection locked="0"/>
    </xf>
    <xf numFmtId="164" fontId="3" fillId="4" borderId="47" xfId="0" applyNumberFormat="1" applyFont="1" applyFill="1" applyBorder="1" applyAlignment="1" applyProtection="1">
      <alignment horizontal="center"/>
      <protection locked="0"/>
    </xf>
    <xf numFmtId="9" fontId="3" fillId="5" borderId="16" xfId="0" applyNumberFormat="1" applyFont="1" applyFill="1" applyBorder="1" applyAlignment="1" applyProtection="1">
      <alignment horizontal="left"/>
      <protection locked="0"/>
    </xf>
    <xf numFmtId="9" fontId="3" fillId="5" borderId="54" xfId="0" applyNumberFormat="1" applyFont="1" applyFill="1" applyBorder="1" applyAlignment="1" applyProtection="1">
      <alignment horizontal="left"/>
      <protection locked="0"/>
    </xf>
    <xf numFmtId="4" fontId="3" fillId="5" borderId="70" xfId="1" applyNumberFormat="1" applyFont="1" applyFill="1" applyBorder="1" applyAlignment="1" applyProtection="1">
      <alignment horizontal="right"/>
      <protection locked="0"/>
    </xf>
    <xf numFmtId="4" fontId="3" fillId="5" borderId="25" xfId="1" applyNumberFormat="1" applyFont="1" applyFill="1" applyBorder="1" applyAlignment="1" applyProtection="1">
      <alignment horizontal="right"/>
      <protection locked="0"/>
    </xf>
    <xf numFmtId="4" fontId="3" fillId="5" borderId="30" xfId="1" applyNumberFormat="1" applyFont="1" applyFill="1" applyBorder="1" applyAlignment="1" applyProtection="1">
      <alignment horizontal="right"/>
      <protection locked="0"/>
    </xf>
    <xf numFmtId="49" fontId="3" fillId="5" borderId="68" xfId="0" applyNumberFormat="1" applyFont="1" applyFill="1" applyBorder="1" applyAlignment="1" applyProtection="1">
      <alignment horizontal="left"/>
      <protection locked="0"/>
    </xf>
    <xf numFmtId="49" fontId="3" fillId="5" borderId="21" xfId="0" applyNumberFormat="1" applyFont="1" applyFill="1" applyBorder="1" applyAlignment="1" applyProtection="1">
      <alignment horizontal="left"/>
      <protection locked="0"/>
    </xf>
    <xf numFmtId="49" fontId="3" fillId="5" borderId="29" xfId="0" applyNumberFormat="1" applyFont="1" applyFill="1" applyBorder="1" applyAlignment="1" applyProtection="1">
      <alignment horizontal="left"/>
      <protection locked="0"/>
    </xf>
    <xf numFmtId="49" fontId="3" fillId="5" borderId="70" xfId="0" applyNumberFormat="1" applyFont="1" applyFill="1" applyBorder="1" applyAlignment="1" applyProtection="1">
      <alignment horizontal="left"/>
      <protection locked="0"/>
    </xf>
    <xf numFmtId="49" fontId="3" fillId="5" borderId="25" xfId="0" applyNumberFormat="1" applyFont="1" applyFill="1" applyBorder="1" applyAlignment="1" applyProtection="1">
      <alignment horizontal="left"/>
      <protection locked="0"/>
    </xf>
    <xf numFmtId="49" fontId="3" fillId="5" borderId="30" xfId="0" applyNumberFormat="1"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38" xfId="0" applyFont="1" applyFill="1" applyBorder="1" applyAlignment="1" applyProtection="1">
      <alignment horizontal="left"/>
      <protection locked="0"/>
    </xf>
    <xf numFmtId="0" fontId="3" fillId="5" borderId="15" xfId="0" applyFont="1" applyFill="1" applyBorder="1" applyAlignment="1" applyProtection="1">
      <alignment horizontal="left"/>
      <protection locked="0"/>
    </xf>
    <xf numFmtId="0" fontId="3" fillId="5" borderId="62" xfId="0" applyFont="1" applyFill="1" applyBorder="1" applyAlignment="1" applyProtection="1">
      <alignment horizontal="left"/>
      <protection locked="0"/>
    </xf>
    <xf numFmtId="0" fontId="3" fillId="5" borderId="73" xfId="0" applyFont="1" applyFill="1" applyBorder="1" applyAlignment="1" applyProtection="1">
      <alignment horizontal="left"/>
      <protection locked="0"/>
    </xf>
    <xf numFmtId="0" fontId="3" fillId="5" borderId="28" xfId="0" applyFont="1" applyFill="1" applyBorder="1" applyAlignment="1" applyProtection="1">
      <alignment horizontal="left"/>
      <protection locked="0"/>
    </xf>
    <xf numFmtId="0" fontId="3" fillId="5" borderId="74" xfId="0" applyFont="1" applyFill="1" applyBorder="1" applyAlignment="1" applyProtection="1">
      <alignment horizontal="left"/>
      <protection locked="0"/>
    </xf>
    <xf numFmtId="0" fontId="3" fillId="5" borderId="46" xfId="0" applyFont="1" applyFill="1" applyBorder="1" applyAlignment="1" applyProtection="1">
      <alignment horizontal="left"/>
      <protection locked="0"/>
    </xf>
    <xf numFmtId="0" fontId="3" fillId="5" borderId="0" xfId="0" applyFont="1" applyFill="1" applyAlignment="1" applyProtection="1">
      <alignment horizontal="left"/>
      <protection locked="0"/>
    </xf>
    <xf numFmtId="0" fontId="3" fillId="5" borderId="48" xfId="0" applyFont="1" applyFill="1" applyBorder="1" applyAlignment="1" applyProtection="1">
      <alignment horizontal="left"/>
      <protection locked="0"/>
    </xf>
    <xf numFmtId="0" fontId="3" fillId="5" borderId="1" xfId="0" applyFont="1" applyFill="1" applyBorder="1" applyAlignment="1" applyProtection="1">
      <alignment horizontal="left"/>
      <protection locked="0"/>
    </xf>
    <xf numFmtId="0" fontId="3" fillId="5" borderId="49" xfId="0" applyFont="1" applyFill="1" applyBorder="1" applyAlignment="1" applyProtection="1">
      <alignment horizontal="left"/>
      <protection locked="0"/>
    </xf>
    <xf numFmtId="49" fontId="3" fillId="5" borderId="9" xfId="0" applyNumberFormat="1" applyFont="1" applyFill="1" applyBorder="1" applyAlignment="1" applyProtection="1">
      <alignment horizontal="left"/>
      <protection locked="0"/>
    </xf>
    <xf numFmtId="49" fontId="3" fillId="5" borderId="38" xfId="0" applyNumberFormat="1" applyFont="1" applyFill="1" applyBorder="1" applyAlignment="1" applyProtection="1">
      <alignment horizontal="left"/>
      <protection locked="0"/>
    </xf>
    <xf numFmtId="166" fontId="3" fillId="2" borderId="10" xfId="3" applyFont="1" applyFill="1" applyBorder="1" applyAlignment="1" applyProtection="1">
      <alignment horizontal="center" shrinkToFit="1"/>
      <protection hidden="1"/>
    </xf>
    <xf numFmtId="166" fontId="3" fillId="2" borderId="11" xfId="3" applyFont="1" applyFill="1" applyBorder="1" applyAlignment="1" applyProtection="1">
      <alignment horizontal="center" shrinkToFit="1"/>
      <protection hidden="1"/>
    </xf>
    <xf numFmtId="166" fontId="3" fillId="2" borderId="14" xfId="3" applyFont="1" applyFill="1" applyBorder="1" applyAlignment="1" applyProtection="1">
      <alignment horizontal="center" shrinkToFit="1"/>
      <protection hidden="1"/>
    </xf>
    <xf numFmtId="4" fontId="3" fillId="5" borderId="64" xfId="1" applyNumberFormat="1" applyFont="1" applyFill="1" applyBorder="1" applyAlignment="1" applyProtection="1">
      <alignment horizontal="right"/>
      <protection locked="0"/>
    </xf>
    <xf numFmtId="4" fontId="3" fillId="5" borderId="36" xfId="1" applyNumberFormat="1" applyFont="1" applyFill="1" applyBorder="1" applyAlignment="1" applyProtection="1">
      <alignment horizontal="right"/>
      <protection locked="0"/>
    </xf>
    <xf numFmtId="4" fontId="3" fillId="5" borderId="37" xfId="1" applyNumberFormat="1" applyFont="1" applyFill="1" applyBorder="1" applyAlignment="1" applyProtection="1">
      <alignment horizontal="right"/>
      <protection locked="0"/>
    </xf>
    <xf numFmtId="4" fontId="3" fillId="5" borderId="42" xfId="1" applyNumberFormat="1" applyFont="1" applyFill="1" applyBorder="1" applyAlignment="1" applyProtection="1">
      <alignment horizontal="right"/>
      <protection locked="0"/>
    </xf>
    <xf numFmtId="4" fontId="3" fillId="5" borderId="15" xfId="1" applyNumberFormat="1" applyFont="1" applyFill="1" applyBorder="1" applyAlignment="1" applyProtection="1">
      <alignment horizontal="right"/>
      <protection locked="0"/>
    </xf>
    <xf numFmtId="4" fontId="3" fillId="5" borderId="62" xfId="1" applyNumberFormat="1" applyFont="1" applyFill="1" applyBorder="1" applyAlignment="1" applyProtection="1">
      <alignment horizontal="right"/>
      <protection locked="0"/>
    </xf>
    <xf numFmtId="166" fontId="3" fillId="2" borderId="10" xfId="3" applyFont="1" applyFill="1" applyBorder="1" applyAlignment="1" applyProtection="1">
      <alignment horizontal="left" shrinkToFit="1"/>
      <protection hidden="1"/>
    </xf>
    <xf numFmtId="166" fontId="3" fillId="2" borderId="11" xfId="3" applyFont="1" applyFill="1" applyBorder="1" applyAlignment="1" applyProtection="1">
      <alignment horizontal="left" shrinkToFit="1"/>
      <protection hidden="1"/>
    </xf>
    <xf numFmtId="166" fontId="3" fillId="2" borderId="14" xfId="3" applyFont="1" applyFill="1" applyBorder="1" applyAlignment="1" applyProtection="1">
      <alignment horizontal="left" shrinkToFit="1"/>
      <protection hidden="1"/>
    </xf>
    <xf numFmtId="168" fontId="11" fillId="3" borderId="48" xfId="0" applyNumberFormat="1" applyFont="1" applyFill="1" applyBorder="1" applyAlignment="1" applyProtection="1">
      <alignment horizontal="center" shrinkToFit="1"/>
      <protection hidden="1"/>
    </xf>
    <xf numFmtId="168" fontId="11" fillId="2" borderId="0" xfId="0" applyNumberFormat="1" applyFont="1" applyFill="1" applyAlignment="1" applyProtection="1">
      <alignment horizontal="left" shrinkToFit="1"/>
      <protection hidden="1"/>
    </xf>
    <xf numFmtId="169" fontId="3" fillId="5" borderId="20" xfId="0" applyNumberFormat="1" applyFont="1" applyFill="1" applyBorder="1" applyAlignment="1" applyProtection="1">
      <alignment horizontal="left"/>
      <protection locked="0"/>
    </xf>
    <xf numFmtId="169" fontId="3" fillId="5" borderId="21" xfId="0" applyNumberFormat="1" applyFont="1" applyFill="1" applyBorder="1" applyAlignment="1" applyProtection="1">
      <alignment horizontal="left"/>
      <protection locked="0"/>
    </xf>
    <xf numFmtId="169" fontId="3" fillId="5" borderId="29" xfId="0" applyNumberFormat="1" applyFont="1" applyFill="1" applyBorder="1" applyAlignment="1" applyProtection="1">
      <alignment horizontal="left"/>
      <protection locked="0"/>
    </xf>
    <xf numFmtId="49" fontId="3" fillId="5" borderId="19" xfId="0" applyNumberFormat="1" applyFont="1" applyFill="1" applyBorder="1" applyAlignment="1" applyProtection="1">
      <alignment horizontal="left"/>
      <protection locked="0"/>
    </xf>
    <xf numFmtId="0" fontId="3" fillId="4" borderId="19"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xf numFmtId="0" fontId="3" fillId="4" borderId="38" xfId="0" applyFont="1" applyFill="1" applyBorder="1" applyAlignment="1" applyProtection="1">
      <alignment horizontal="left"/>
      <protection locked="0"/>
    </xf>
    <xf numFmtId="188" fontId="53" fillId="7" borderId="0" xfId="0" applyNumberFormat="1" applyFont="1" applyFill="1" applyAlignment="1" applyProtection="1">
      <alignment horizontal="left"/>
      <protection hidden="1"/>
    </xf>
    <xf numFmtId="188" fontId="53" fillId="7" borderId="48" xfId="0" applyNumberFormat="1" applyFont="1" applyFill="1" applyBorder="1" applyAlignment="1" applyProtection="1">
      <alignment horizontal="left"/>
      <protection hidden="1"/>
    </xf>
    <xf numFmtId="14" fontId="3" fillId="5" borderId="20" xfId="0" applyNumberFormat="1" applyFont="1" applyFill="1" applyBorder="1" applyAlignment="1" applyProtection="1">
      <alignment horizontal="left"/>
      <protection locked="0"/>
    </xf>
    <xf numFmtId="2" fontId="3" fillId="5" borderId="64" xfId="0" applyNumberFormat="1" applyFont="1" applyFill="1" applyBorder="1" applyAlignment="1" applyProtection="1">
      <alignment horizontal="right"/>
      <protection locked="0"/>
    </xf>
    <xf numFmtId="2" fontId="3" fillId="5" borderId="36" xfId="0" applyNumberFormat="1" applyFont="1" applyFill="1" applyBorder="1" applyAlignment="1" applyProtection="1">
      <alignment horizontal="right"/>
      <protection locked="0"/>
    </xf>
    <xf numFmtId="2" fontId="3" fillId="5" borderId="37" xfId="0" applyNumberFormat="1" applyFont="1" applyFill="1" applyBorder="1" applyAlignment="1" applyProtection="1">
      <alignment horizontal="right"/>
      <protection locked="0"/>
    </xf>
    <xf numFmtId="9" fontId="3" fillId="5" borderId="19" xfId="0" applyNumberFormat="1" applyFont="1" applyFill="1" applyBorder="1" applyAlignment="1" applyProtection="1">
      <alignment horizontal="left"/>
      <protection locked="0"/>
    </xf>
    <xf numFmtId="9" fontId="3" fillId="5" borderId="38" xfId="0" applyNumberFormat="1" applyFont="1" applyFill="1" applyBorder="1" applyAlignment="1" applyProtection="1">
      <alignment horizontal="left"/>
      <protection locked="0"/>
    </xf>
    <xf numFmtId="0" fontId="3" fillId="5" borderId="19" xfId="0" applyFont="1" applyFill="1" applyBorder="1" applyAlignment="1" applyProtection="1">
      <alignment horizontal="left"/>
      <protection locked="0"/>
    </xf>
    <xf numFmtId="0" fontId="0" fillId="0" borderId="9" xfId="0" applyBorder="1" applyProtection="1">
      <protection locked="0"/>
    </xf>
    <xf numFmtId="0" fontId="0" fillId="0" borderId="38" xfId="0" applyBorder="1" applyProtection="1">
      <protection locked="0"/>
    </xf>
    <xf numFmtId="0" fontId="79" fillId="2" borderId="46" xfId="0" applyFont="1" applyFill="1" applyBorder="1" applyAlignment="1" applyProtection="1">
      <alignment horizontal="right"/>
      <protection hidden="1"/>
    </xf>
    <xf numFmtId="0" fontId="79" fillId="2" borderId="47" xfId="0" applyFont="1" applyFill="1" applyBorder="1" applyAlignment="1" applyProtection="1">
      <alignment horizontal="right"/>
      <protection hidden="1"/>
    </xf>
    <xf numFmtId="2" fontId="3" fillId="5" borderId="71" xfId="0" applyNumberFormat="1" applyFont="1" applyFill="1" applyBorder="1" applyAlignment="1" applyProtection="1">
      <alignment horizontal="right"/>
      <protection locked="0"/>
    </xf>
    <xf numFmtId="2" fontId="3" fillId="5" borderId="18" xfId="0" applyNumberFormat="1" applyFont="1" applyFill="1" applyBorder="1" applyAlignment="1" applyProtection="1">
      <alignment horizontal="right"/>
      <protection locked="0"/>
    </xf>
    <xf numFmtId="2" fontId="3" fillId="5" borderId="32" xfId="0" applyNumberFormat="1" applyFont="1" applyFill="1" applyBorder="1" applyAlignment="1" applyProtection="1">
      <alignment horizontal="right"/>
      <protection locked="0"/>
    </xf>
    <xf numFmtId="0" fontId="11" fillId="2" borderId="23" xfId="0" applyFont="1" applyFill="1" applyBorder="1" applyAlignment="1" applyProtection="1">
      <alignment horizontal="center"/>
      <protection hidden="1"/>
    </xf>
    <xf numFmtId="0" fontId="11" fillId="2" borderId="24" xfId="0" applyFont="1" applyFill="1" applyBorder="1" applyAlignment="1" applyProtection="1">
      <alignment horizontal="center"/>
      <protection hidden="1"/>
    </xf>
    <xf numFmtId="0" fontId="11" fillId="2" borderId="50" xfId="0" applyFont="1" applyFill="1" applyBorder="1" applyAlignment="1" applyProtection="1">
      <alignment horizontal="center"/>
      <protection hidden="1"/>
    </xf>
    <xf numFmtId="168" fontId="11" fillId="2" borderId="46" xfId="3" applyNumberFormat="1" applyFont="1" applyFill="1" applyBorder="1" applyAlignment="1" applyProtection="1">
      <alignment horizontal="left" shrinkToFit="1"/>
      <protection hidden="1"/>
    </xf>
    <xf numFmtId="10" fontId="11" fillId="2" borderId="24" xfId="6" applyNumberFormat="1" applyFont="1" applyFill="1" applyBorder="1" applyAlignment="1" applyProtection="1">
      <alignment horizontal="center" shrinkToFit="1"/>
      <protection hidden="1"/>
    </xf>
    <xf numFmtId="2" fontId="3" fillId="2" borderId="45" xfId="0" applyNumberFormat="1" applyFont="1" applyFill="1" applyBorder="1" applyAlignment="1" applyProtection="1">
      <alignment horizontal="center"/>
      <protection hidden="1"/>
    </xf>
    <xf numFmtId="2" fontId="3" fillId="2" borderId="46" xfId="0" applyNumberFormat="1" applyFont="1" applyFill="1" applyBorder="1" applyAlignment="1" applyProtection="1">
      <alignment horizontal="center"/>
      <protection hidden="1"/>
    </xf>
    <xf numFmtId="2" fontId="3" fillId="5" borderId="68" xfId="0" applyNumberFormat="1" applyFont="1" applyFill="1" applyBorder="1" applyAlignment="1" applyProtection="1">
      <alignment horizontal="right"/>
      <protection locked="0"/>
    </xf>
    <xf numFmtId="2" fontId="3" fillId="5" borderId="21" xfId="0" applyNumberFormat="1" applyFont="1" applyFill="1" applyBorder="1" applyAlignment="1" applyProtection="1">
      <alignment horizontal="right"/>
      <protection locked="0"/>
    </xf>
    <xf numFmtId="2" fontId="3" fillId="5" borderId="29" xfId="0" applyNumberFormat="1" applyFont="1" applyFill="1" applyBorder="1" applyAlignment="1" applyProtection="1">
      <alignment horizontal="right"/>
      <protection locked="0"/>
    </xf>
    <xf numFmtId="168" fontId="11" fillId="2" borderId="0" xfId="1" applyNumberFormat="1" applyFont="1" applyFill="1" applyBorder="1" applyAlignment="1" applyProtection="1">
      <alignment horizontal="left" shrinkToFit="1"/>
      <protection hidden="1"/>
    </xf>
    <xf numFmtId="4" fontId="3" fillId="5" borderId="10" xfId="1" applyNumberFormat="1" applyFont="1" applyFill="1" applyBorder="1" applyAlignment="1" applyProtection="1">
      <alignment horizontal="right"/>
      <protection locked="0"/>
    </xf>
    <xf numFmtId="4" fontId="3" fillId="5" borderId="11" xfId="1" applyNumberFormat="1" applyFont="1" applyFill="1" applyBorder="1" applyAlignment="1" applyProtection="1">
      <alignment horizontal="right"/>
      <protection locked="0"/>
    </xf>
    <xf numFmtId="4" fontId="3" fillId="5" borderId="14" xfId="1" applyNumberFormat="1" applyFont="1" applyFill="1" applyBorder="1" applyAlignment="1" applyProtection="1">
      <alignment horizontal="right"/>
      <protection locked="0"/>
    </xf>
    <xf numFmtId="166" fontId="3" fillId="5" borderId="4" xfId="3" applyFont="1" applyFill="1" applyBorder="1" applyAlignment="1" applyProtection="1">
      <alignment horizontal="left" shrinkToFit="1"/>
      <protection locked="0"/>
    </xf>
    <xf numFmtId="166" fontId="3" fillId="5" borderId="0" xfId="3" applyFont="1" applyFill="1" applyBorder="1" applyAlignment="1" applyProtection="1">
      <alignment horizontal="left" shrinkToFit="1"/>
      <protection locked="0"/>
    </xf>
    <xf numFmtId="166" fontId="3" fillId="5" borderId="48" xfId="3" applyFont="1" applyFill="1" applyBorder="1" applyAlignment="1" applyProtection="1">
      <alignment horizontal="left" shrinkToFit="1"/>
      <protection locked="0"/>
    </xf>
    <xf numFmtId="172" fontId="5" fillId="3" borderId="10" xfId="0" applyNumberFormat="1" applyFont="1" applyFill="1" applyBorder="1" applyAlignment="1" applyProtection="1">
      <alignment horizontal="right"/>
      <protection hidden="1"/>
    </xf>
    <xf numFmtId="172" fontId="5" fillId="3" borderId="11" xfId="0" applyNumberFormat="1" applyFont="1" applyFill="1" applyBorder="1" applyAlignment="1" applyProtection="1">
      <alignment horizontal="right"/>
      <protection hidden="1"/>
    </xf>
    <xf numFmtId="172" fontId="5" fillId="3" borderId="14" xfId="0" applyNumberFormat="1" applyFont="1" applyFill="1" applyBorder="1" applyAlignment="1" applyProtection="1">
      <alignment horizontal="right"/>
      <protection hidden="1"/>
    </xf>
    <xf numFmtId="0" fontId="11" fillId="2" borderId="39" xfId="0" applyFont="1" applyFill="1" applyBorder="1" applyAlignment="1" applyProtection="1">
      <alignment horizontal="left"/>
      <protection hidden="1"/>
    </xf>
    <xf numFmtId="0" fontId="0" fillId="0" borderId="48" xfId="0" applyBorder="1" applyProtection="1">
      <protection hidden="1"/>
    </xf>
    <xf numFmtId="170" fontId="3" fillId="5" borderId="20" xfId="0" applyNumberFormat="1" applyFont="1" applyFill="1" applyBorder="1" applyAlignment="1" applyProtection="1">
      <alignment horizontal="left"/>
      <protection locked="0"/>
    </xf>
    <xf numFmtId="170" fontId="3" fillId="5" borderId="21" xfId="0" applyNumberFormat="1" applyFont="1" applyFill="1" applyBorder="1" applyAlignment="1" applyProtection="1">
      <alignment horizontal="left"/>
      <protection locked="0"/>
    </xf>
    <xf numFmtId="170" fontId="3" fillId="5" borderId="29" xfId="0" applyNumberFormat="1" applyFont="1" applyFill="1" applyBorder="1" applyAlignment="1" applyProtection="1">
      <alignment horizontal="left"/>
      <protection locked="0"/>
    </xf>
    <xf numFmtId="0" fontId="3" fillId="5" borderId="71" xfId="0" applyFont="1" applyFill="1" applyBorder="1" applyAlignment="1" applyProtection="1">
      <alignment horizontal="left"/>
      <protection locked="0"/>
    </xf>
    <xf numFmtId="0" fontId="3" fillId="5" borderId="18" xfId="0" applyFont="1" applyFill="1" applyBorder="1" applyAlignment="1" applyProtection="1">
      <alignment horizontal="left"/>
      <protection locked="0"/>
    </xf>
    <xf numFmtId="0" fontId="3" fillId="5" borderId="32" xfId="0" applyFont="1" applyFill="1" applyBorder="1" applyAlignment="1" applyProtection="1">
      <alignment horizontal="left"/>
      <protection locked="0"/>
    </xf>
    <xf numFmtId="169" fontId="3" fillId="5" borderId="68" xfId="0" applyNumberFormat="1" applyFont="1" applyFill="1" applyBorder="1" applyAlignment="1" applyProtection="1">
      <alignment horizontal="left"/>
      <protection locked="0"/>
    </xf>
    <xf numFmtId="0" fontId="12" fillId="5" borderId="10" xfId="0" applyFont="1" applyFill="1" applyBorder="1" applyAlignment="1" applyProtection="1">
      <alignment horizontal="center"/>
      <protection hidden="1"/>
    </xf>
    <xf numFmtId="0" fontId="12" fillId="5" borderId="14" xfId="0" applyFont="1" applyFill="1" applyBorder="1" applyAlignment="1" applyProtection="1">
      <alignment horizontal="center"/>
      <protection hidden="1"/>
    </xf>
    <xf numFmtId="1" fontId="3" fillId="5" borderId="68" xfId="0" applyNumberFormat="1" applyFont="1" applyFill="1" applyBorder="1" applyAlignment="1" applyProtection="1">
      <alignment horizontal="left"/>
      <protection locked="0"/>
    </xf>
    <xf numFmtId="1" fontId="3" fillId="5" borderId="21" xfId="0" applyNumberFormat="1" applyFont="1" applyFill="1" applyBorder="1" applyAlignment="1" applyProtection="1">
      <alignment horizontal="left"/>
      <protection locked="0"/>
    </xf>
    <xf numFmtId="1" fontId="3" fillId="5" borderId="29" xfId="0" applyNumberFormat="1" applyFont="1" applyFill="1" applyBorder="1" applyAlignment="1" applyProtection="1">
      <alignment horizontal="left"/>
      <protection locked="0"/>
    </xf>
    <xf numFmtId="1" fontId="3" fillId="5" borderId="19" xfId="0" applyNumberFormat="1" applyFont="1" applyFill="1" applyBorder="1" applyAlignment="1" applyProtection="1">
      <alignment horizontal="left"/>
      <protection locked="0"/>
    </xf>
    <xf numFmtId="1" fontId="3" fillId="5" borderId="9" xfId="0" applyNumberFormat="1" applyFont="1" applyFill="1" applyBorder="1" applyAlignment="1" applyProtection="1">
      <alignment horizontal="left"/>
      <protection locked="0"/>
    </xf>
    <xf numFmtId="1" fontId="3" fillId="5" borderId="38" xfId="0" applyNumberFormat="1" applyFont="1" applyFill="1" applyBorder="1" applyAlignment="1" applyProtection="1">
      <alignment horizontal="left"/>
      <protection locked="0"/>
    </xf>
    <xf numFmtId="0" fontId="3" fillId="5" borderId="42" xfId="0" applyFont="1" applyFill="1" applyBorder="1" applyAlignment="1" applyProtection="1">
      <alignment horizontal="left"/>
      <protection locked="0"/>
    </xf>
    <xf numFmtId="0" fontId="0" fillId="0" borderId="15" xfId="0" applyBorder="1" applyProtection="1">
      <protection locked="0"/>
    </xf>
    <xf numFmtId="0" fontId="0" fillId="0" borderId="62" xfId="0" applyBorder="1" applyProtection="1">
      <protection locked="0"/>
    </xf>
    <xf numFmtId="0" fontId="3" fillId="5" borderId="66" xfId="0" applyFont="1" applyFill="1" applyBorder="1" applyAlignment="1" applyProtection="1">
      <alignment horizontal="left"/>
      <protection locked="0"/>
    </xf>
    <xf numFmtId="4" fontId="3" fillId="2" borderId="0" xfId="1" applyNumberFormat="1" applyFont="1" applyFill="1" applyBorder="1" applyAlignment="1" applyProtection="1">
      <alignment horizontal="right"/>
      <protection hidden="1"/>
    </xf>
    <xf numFmtId="10" fontId="3" fillId="3" borderId="0" xfId="0" applyNumberFormat="1" applyFont="1" applyFill="1" applyAlignment="1" applyProtection="1">
      <alignment horizontal="center"/>
      <protection hidden="1"/>
    </xf>
    <xf numFmtId="168" fontId="11" fillId="3" borderId="24" xfId="0" applyNumberFormat="1" applyFont="1" applyFill="1" applyBorder="1" applyAlignment="1" applyProtection="1">
      <alignment horizontal="left" shrinkToFit="1"/>
      <protection hidden="1"/>
    </xf>
    <xf numFmtId="166" fontId="3" fillId="2" borderId="23" xfId="3" applyFont="1" applyFill="1" applyBorder="1" applyAlignment="1" applyProtection="1">
      <alignment horizontal="left" shrinkToFit="1"/>
      <protection hidden="1"/>
    </xf>
    <xf numFmtId="166" fontId="3" fillId="2" borderId="24" xfId="3" applyFont="1" applyFill="1" applyBorder="1" applyAlignment="1" applyProtection="1">
      <alignment horizontal="left" shrinkToFit="1"/>
      <protection hidden="1"/>
    </xf>
    <xf numFmtId="166" fontId="3" fillId="2" borderId="50" xfId="3" applyFont="1" applyFill="1" applyBorder="1" applyAlignment="1" applyProtection="1">
      <alignment horizontal="left" shrinkToFit="1"/>
      <protection hidden="1"/>
    </xf>
    <xf numFmtId="0" fontId="11" fillId="5" borderId="10" xfId="0" applyFont="1" applyFill="1" applyBorder="1" applyAlignment="1" applyProtection="1">
      <alignment horizontal="left"/>
      <protection locked="0"/>
    </xf>
    <xf numFmtId="0" fontId="11" fillId="5" borderId="11" xfId="0" applyFont="1" applyFill="1" applyBorder="1" applyAlignment="1" applyProtection="1">
      <alignment horizontal="left"/>
      <protection locked="0"/>
    </xf>
    <xf numFmtId="0" fontId="11" fillId="5" borderId="14" xfId="0" applyFont="1" applyFill="1" applyBorder="1" applyAlignment="1" applyProtection="1">
      <alignment horizontal="left"/>
      <protection locked="0"/>
    </xf>
    <xf numFmtId="0" fontId="5" fillId="2" borderId="0" xfId="0" applyFont="1" applyFill="1" applyAlignment="1" applyProtection="1">
      <alignment horizontal="center"/>
      <protection hidden="1"/>
    </xf>
    <xf numFmtId="0" fontId="3" fillId="11" borderId="70" xfId="0" applyFont="1" applyFill="1" applyBorder="1" applyAlignment="1" applyProtection="1">
      <alignment horizontal="left"/>
      <protection locked="0"/>
    </xf>
    <xf numFmtId="0" fontId="3" fillId="11" borderId="25"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5" borderId="19" xfId="0" applyFont="1" applyFill="1" applyBorder="1" applyAlignment="1" applyProtection="1">
      <alignment horizontal="center"/>
      <protection locked="0"/>
    </xf>
    <xf numFmtId="0" fontId="5" fillId="5" borderId="9" xfId="0" applyFont="1" applyFill="1" applyBorder="1" applyAlignment="1" applyProtection="1">
      <alignment horizontal="center"/>
      <protection locked="0"/>
    </xf>
    <xf numFmtId="0" fontId="5" fillId="5" borderId="20" xfId="0" applyFont="1" applyFill="1" applyBorder="1" applyAlignment="1" applyProtection="1">
      <alignment horizontal="center"/>
      <protection locked="0"/>
    </xf>
    <xf numFmtId="9" fontId="3" fillId="5" borderId="42" xfId="0" applyNumberFormat="1" applyFont="1" applyFill="1" applyBorder="1" applyAlignment="1" applyProtection="1">
      <alignment horizontal="left"/>
      <protection locked="0"/>
    </xf>
    <xf numFmtId="9" fontId="3" fillId="5" borderId="62" xfId="0" applyNumberFormat="1" applyFont="1" applyFill="1" applyBorder="1" applyAlignment="1" applyProtection="1">
      <alignment horizontal="left"/>
      <protection locked="0"/>
    </xf>
    <xf numFmtId="168" fontId="11" fillId="2" borderId="0" xfId="3" applyNumberFormat="1" applyFont="1" applyFill="1" applyBorder="1" applyAlignment="1" applyProtection="1">
      <alignment horizontal="left" shrinkToFit="1"/>
      <protection hidden="1"/>
    </xf>
    <xf numFmtId="4" fontId="3" fillId="5" borderId="69" xfId="1" applyNumberFormat="1" applyFont="1" applyFill="1" applyBorder="1" applyAlignment="1" applyProtection="1">
      <alignment horizontal="right"/>
      <protection locked="0"/>
    </xf>
    <xf numFmtId="4" fontId="3" fillId="5" borderId="34" xfId="1" applyNumberFormat="1" applyFont="1" applyFill="1" applyBorder="1" applyAlignment="1" applyProtection="1">
      <alignment horizontal="right"/>
      <protection locked="0"/>
    </xf>
    <xf numFmtId="4" fontId="3" fillId="5" borderId="35" xfId="1" applyNumberFormat="1" applyFont="1" applyFill="1" applyBorder="1" applyAlignment="1" applyProtection="1">
      <alignment horizontal="right"/>
      <protection locked="0"/>
    </xf>
    <xf numFmtId="10" fontId="3" fillId="5" borderId="41" xfId="0" applyNumberFormat="1" applyFont="1" applyFill="1" applyBorder="1" applyAlignment="1" applyProtection="1">
      <alignment horizontal="right"/>
      <protection locked="0"/>
    </xf>
    <xf numFmtId="10" fontId="3" fillId="5" borderId="9" xfId="0" applyNumberFormat="1" applyFont="1" applyFill="1" applyBorder="1" applyAlignment="1" applyProtection="1">
      <alignment horizontal="right"/>
      <protection locked="0"/>
    </xf>
    <xf numFmtId="10" fontId="3" fillId="5" borderId="20" xfId="0" applyNumberFormat="1" applyFont="1" applyFill="1" applyBorder="1" applyAlignment="1" applyProtection="1">
      <alignment horizontal="right"/>
      <protection locked="0"/>
    </xf>
    <xf numFmtId="9" fontId="11" fillId="2" borderId="4" xfId="0" applyNumberFormat="1" applyFont="1" applyFill="1" applyBorder="1" applyAlignment="1" applyProtection="1">
      <alignment horizontal="left"/>
      <protection hidden="1"/>
    </xf>
    <xf numFmtId="9" fontId="11" fillId="2" borderId="0" xfId="0" applyNumberFormat="1" applyFont="1" applyFill="1" applyAlignment="1" applyProtection="1">
      <alignment horizontal="left"/>
      <protection hidden="1"/>
    </xf>
    <xf numFmtId="10" fontId="11" fillId="2" borderId="0" xfId="6" applyNumberFormat="1" applyFont="1" applyFill="1" applyBorder="1" applyAlignment="1" applyProtection="1">
      <alignment horizontal="center" shrinkToFit="1"/>
      <protection hidden="1"/>
    </xf>
    <xf numFmtId="1" fontId="44" fillId="2" borderId="0" xfId="0" applyNumberFormat="1" applyFont="1" applyFill="1" applyAlignment="1" applyProtection="1">
      <alignment horizontal="center"/>
      <protection hidden="1"/>
    </xf>
    <xf numFmtId="1" fontId="44" fillId="2" borderId="48" xfId="0" applyNumberFormat="1" applyFont="1" applyFill="1" applyBorder="1" applyAlignment="1" applyProtection="1">
      <alignment horizontal="center"/>
      <protection hidden="1"/>
    </xf>
    <xf numFmtId="2" fontId="3" fillId="5" borderId="10" xfId="0" applyNumberFormat="1" applyFont="1" applyFill="1" applyBorder="1" applyAlignment="1" applyProtection="1">
      <alignment horizontal="right"/>
      <protection locked="0"/>
    </xf>
    <xf numFmtId="2" fontId="3" fillId="5" borderId="11" xfId="0" applyNumberFormat="1" applyFont="1" applyFill="1" applyBorder="1" applyAlignment="1" applyProtection="1">
      <alignment horizontal="right"/>
      <protection locked="0"/>
    </xf>
    <xf numFmtId="2" fontId="3" fillId="5" borderId="14" xfId="0" applyNumberFormat="1" applyFont="1" applyFill="1" applyBorder="1" applyAlignment="1" applyProtection="1">
      <alignment horizontal="right"/>
      <protection locked="0"/>
    </xf>
    <xf numFmtId="2" fontId="3" fillId="2" borderId="0" xfId="0" applyNumberFormat="1" applyFont="1" applyFill="1" applyAlignment="1" applyProtection="1">
      <alignment horizontal="left"/>
      <protection hidden="1"/>
    </xf>
    <xf numFmtId="2" fontId="0" fillId="0" borderId="0" xfId="0" applyNumberFormat="1"/>
    <xf numFmtId="0" fontId="24" fillId="3" borderId="0" xfId="0" applyFont="1" applyFill="1" applyAlignment="1" applyProtection="1">
      <alignment horizontal="center"/>
      <protection hidden="1"/>
    </xf>
    <xf numFmtId="0" fontId="11" fillId="2" borderId="0" xfId="0" applyFont="1" applyFill="1" applyAlignment="1" applyProtection="1">
      <alignment horizontal="center"/>
      <protection hidden="1"/>
    </xf>
    <xf numFmtId="9" fontId="11" fillId="2" borderId="0" xfId="0" applyNumberFormat="1" applyFont="1" applyFill="1" applyAlignment="1" applyProtection="1">
      <alignment horizontal="center" shrinkToFit="1"/>
      <protection hidden="1"/>
    </xf>
    <xf numFmtId="9" fontId="11" fillId="3" borderId="0" xfId="0" applyNumberFormat="1" applyFont="1" applyFill="1" applyAlignment="1" applyProtection="1">
      <alignment horizontal="center"/>
      <protection hidden="1"/>
    </xf>
    <xf numFmtId="0" fontId="11" fillId="3" borderId="0" xfId="0" applyFont="1" applyFill="1" applyAlignment="1" applyProtection="1">
      <alignment horizontal="center"/>
      <protection hidden="1"/>
    </xf>
    <xf numFmtId="9" fontId="11" fillId="2" borderId="46" xfId="0" applyNumberFormat="1" applyFont="1" applyFill="1" applyBorder="1" applyAlignment="1" applyProtection="1">
      <alignment horizontal="center"/>
      <protection hidden="1"/>
    </xf>
    <xf numFmtId="0" fontId="11" fillId="2" borderId="10" xfId="0" applyFont="1" applyFill="1" applyBorder="1" applyAlignment="1" applyProtection="1">
      <alignment horizontal="center"/>
      <protection hidden="1"/>
    </xf>
    <xf numFmtId="0" fontId="11" fillId="2" borderId="11" xfId="0" applyFont="1" applyFill="1" applyBorder="1" applyAlignment="1" applyProtection="1">
      <alignment horizontal="center"/>
      <protection hidden="1"/>
    </xf>
    <xf numFmtId="9" fontId="11" fillId="2" borderId="0" xfId="0" applyNumberFormat="1" applyFont="1" applyFill="1" applyAlignment="1" applyProtection="1">
      <alignment horizontal="center"/>
      <protection hidden="1"/>
    </xf>
    <xf numFmtId="168" fontId="25" fillId="2" borderId="0" xfId="0" applyNumberFormat="1" applyFont="1" applyFill="1" applyAlignment="1" applyProtection="1">
      <alignment horizontal="left" shrinkToFit="1"/>
      <protection hidden="1"/>
    </xf>
    <xf numFmtId="168" fontId="1" fillId="2" borderId="0" xfId="0" applyNumberFormat="1" applyFont="1" applyFill="1" applyAlignment="1" applyProtection="1">
      <alignment horizontal="left" shrinkToFit="1"/>
      <protection hidden="1"/>
    </xf>
    <xf numFmtId="171" fontId="4" fillId="2" borderId="1" xfId="0" applyNumberFormat="1" applyFont="1" applyFill="1" applyBorder="1" applyAlignment="1" applyProtection="1">
      <alignment horizontal="center" shrinkToFit="1"/>
      <protection hidden="1"/>
    </xf>
    <xf numFmtId="180" fontId="11" fillId="2" borderId="4" xfId="0" applyNumberFormat="1" applyFont="1" applyFill="1" applyBorder="1" applyAlignment="1" applyProtection="1">
      <alignment horizontal="left"/>
      <protection hidden="1"/>
    </xf>
    <xf numFmtId="180" fontId="11" fillId="2" borderId="0" xfId="0" applyNumberFormat="1" applyFont="1" applyFill="1" applyAlignment="1" applyProtection="1">
      <alignment horizontal="left"/>
      <protection hidden="1"/>
    </xf>
    <xf numFmtId="39" fontId="3" fillId="5" borderId="10" xfId="0" applyNumberFormat="1" applyFont="1" applyFill="1" applyBorder="1" applyAlignment="1" applyProtection="1">
      <alignment horizontal="center"/>
      <protection locked="0"/>
    </xf>
    <xf numFmtId="39" fontId="3" fillId="5" borderId="11" xfId="0" applyNumberFormat="1" applyFont="1" applyFill="1" applyBorder="1" applyAlignment="1" applyProtection="1">
      <alignment horizontal="center"/>
      <protection locked="0"/>
    </xf>
    <xf numFmtId="39" fontId="3" fillId="5" borderId="14" xfId="0" applyNumberFormat="1" applyFont="1" applyFill="1" applyBorder="1" applyAlignment="1" applyProtection="1">
      <alignment horizontal="center"/>
      <protection locked="0"/>
    </xf>
    <xf numFmtId="166" fontId="0" fillId="3" borderId="0" xfId="0" applyNumberFormat="1" applyFill="1" applyAlignment="1" applyProtection="1">
      <alignment horizontal="center"/>
      <protection hidden="1"/>
    </xf>
    <xf numFmtId="10" fontId="5" fillId="5" borderId="41" xfId="0" applyNumberFormat="1" applyFont="1" applyFill="1" applyBorder="1" applyAlignment="1" applyProtection="1">
      <alignment horizontal="right"/>
      <protection locked="0"/>
    </xf>
    <xf numFmtId="10" fontId="5" fillId="5" borderId="9" xfId="0" applyNumberFormat="1" applyFont="1" applyFill="1" applyBorder="1" applyAlignment="1" applyProtection="1">
      <alignment horizontal="right"/>
      <protection locked="0"/>
    </xf>
    <xf numFmtId="10" fontId="5" fillId="5" borderId="20" xfId="0" applyNumberFormat="1" applyFont="1" applyFill="1" applyBorder="1" applyAlignment="1" applyProtection="1">
      <alignment horizontal="right"/>
      <protection locked="0"/>
    </xf>
    <xf numFmtId="174" fontId="11" fillId="2" borderId="0" xfId="0" applyNumberFormat="1" applyFont="1" applyFill="1" applyAlignment="1" applyProtection="1">
      <alignment horizontal="center" shrinkToFit="1"/>
      <protection hidden="1"/>
    </xf>
    <xf numFmtId="168" fontId="3" fillId="3" borderId="41" xfId="0" applyNumberFormat="1" applyFont="1" applyFill="1" applyBorder="1" applyAlignment="1" applyProtection="1">
      <alignment horizontal="left" shrinkToFit="1"/>
      <protection hidden="1"/>
    </xf>
    <xf numFmtId="168" fontId="3" fillId="3" borderId="9" xfId="0" applyNumberFormat="1" applyFont="1" applyFill="1" applyBorder="1" applyAlignment="1" applyProtection="1">
      <alignment horizontal="left" shrinkToFit="1"/>
      <protection hidden="1"/>
    </xf>
    <xf numFmtId="168" fontId="3" fillId="3" borderId="20" xfId="0" applyNumberFormat="1" applyFont="1" applyFill="1" applyBorder="1" applyAlignment="1" applyProtection="1">
      <alignment horizontal="left" shrinkToFit="1"/>
      <protection hidden="1"/>
    </xf>
    <xf numFmtId="10" fontId="0" fillId="3" borderId="9" xfId="0" applyNumberFormat="1" applyFill="1" applyBorder="1" applyAlignment="1" applyProtection="1">
      <alignment horizontal="right"/>
      <protection hidden="1"/>
    </xf>
    <xf numFmtId="10" fontId="0" fillId="3" borderId="20" xfId="0" applyNumberFormat="1" applyFill="1" applyBorder="1" applyAlignment="1" applyProtection="1">
      <alignment horizontal="right"/>
      <protection hidden="1"/>
    </xf>
    <xf numFmtId="9" fontId="72" fillId="3" borderId="0" xfId="0" applyNumberFormat="1" applyFont="1" applyFill="1" applyAlignment="1" applyProtection="1">
      <alignment horizontal="center"/>
      <protection hidden="1"/>
    </xf>
    <xf numFmtId="0" fontId="72" fillId="3" borderId="0" xfId="0" applyFont="1" applyFill="1" applyAlignment="1" applyProtection="1">
      <alignment horizontal="center"/>
      <protection hidden="1"/>
    </xf>
    <xf numFmtId="10" fontId="3" fillId="3" borderId="0" xfId="0" applyNumberFormat="1" applyFont="1" applyFill="1" applyAlignment="1" applyProtection="1">
      <alignment horizontal="right"/>
      <protection hidden="1"/>
    </xf>
    <xf numFmtId="0" fontId="7" fillId="7" borderId="19" xfId="0" applyFont="1" applyFill="1" applyBorder="1" applyAlignment="1" applyProtection="1">
      <alignment horizontal="right"/>
      <protection hidden="1"/>
    </xf>
    <xf numFmtId="0" fontId="7" fillId="7" borderId="9" xfId="0" applyFont="1" applyFill="1" applyBorder="1" applyAlignment="1" applyProtection="1">
      <alignment horizontal="right"/>
      <protection hidden="1"/>
    </xf>
    <xf numFmtId="49" fontId="3" fillId="5" borderId="41" xfId="0" applyNumberFormat="1" applyFont="1" applyFill="1" applyBorder="1" applyAlignment="1" applyProtection="1">
      <alignment horizontal="left"/>
      <protection locked="0"/>
    </xf>
    <xf numFmtId="168" fontId="0" fillId="2" borderId="41" xfId="0" applyNumberFormat="1" applyFill="1" applyBorder="1" applyAlignment="1" applyProtection="1">
      <alignment horizontal="left" shrinkToFit="1"/>
      <protection hidden="1"/>
    </xf>
    <xf numFmtId="168" fontId="0" fillId="2" borderId="9" xfId="0" applyNumberFormat="1" applyFill="1" applyBorder="1" applyAlignment="1" applyProtection="1">
      <alignment horizontal="left" shrinkToFit="1"/>
      <protection hidden="1"/>
    </xf>
    <xf numFmtId="168" fontId="0" fillId="2" borderId="20" xfId="0" applyNumberFormat="1" applyFill="1" applyBorder="1" applyAlignment="1" applyProtection="1">
      <alignment horizontal="left" shrinkToFit="1"/>
      <protection hidden="1"/>
    </xf>
    <xf numFmtId="0" fontId="0" fillId="2" borderId="41" xfId="0" applyFill="1" applyBorder="1" applyAlignment="1" applyProtection="1">
      <alignment horizontal="center"/>
      <protection hidden="1"/>
    </xf>
    <xf numFmtId="0" fontId="0" fillId="2" borderId="9" xfId="0" applyFill="1" applyBorder="1" applyAlignment="1" applyProtection="1">
      <alignment horizontal="center"/>
      <protection hidden="1"/>
    </xf>
    <xf numFmtId="0" fontId="11" fillId="2" borderId="0" xfId="0" applyFont="1" applyFill="1" applyAlignment="1">
      <alignment horizontal="left" shrinkToFit="1"/>
    </xf>
    <xf numFmtId="168" fontId="4" fillId="2" borderId="0" xfId="0" applyNumberFormat="1" applyFont="1" applyFill="1" applyAlignment="1" applyProtection="1">
      <alignment horizontal="center"/>
      <protection hidden="1"/>
    </xf>
    <xf numFmtId="0" fontId="3" fillId="5" borderId="65" xfId="0" applyFont="1" applyFill="1" applyBorder="1" applyAlignment="1" applyProtection="1">
      <alignment horizontal="left"/>
      <protection locked="0"/>
    </xf>
    <xf numFmtId="0" fontId="3" fillId="5" borderId="17" xfId="0" applyFont="1" applyFill="1" applyBorder="1" applyAlignment="1" applyProtection="1">
      <alignment horizontal="left"/>
      <protection locked="0"/>
    </xf>
    <xf numFmtId="0" fontId="3" fillId="5" borderId="54" xfId="0" applyFont="1" applyFill="1" applyBorder="1" applyAlignment="1" applyProtection="1">
      <alignment horizontal="left"/>
      <protection locked="0"/>
    </xf>
    <xf numFmtId="168" fontId="0" fillId="2" borderId="46" xfId="0" applyNumberFormat="1" applyFill="1" applyBorder="1" applyAlignment="1" applyProtection="1">
      <alignment horizontal="left" shrinkToFit="1"/>
      <protection hidden="1"/>
    </xf>
    <xf numFmtId="0" fontId="11" fillId="2" borderId="23" xfId="0" applyFont="1" applyFill="1" applyBorder="1" applyAlignment="1" applyProtection="1">
      <alignment horizontal="center" shrinkToFit="1"/>
      <protection hidden="1"/>
    </xf>
    <xf numFmtId="0" fontId="11" fillId="2" borderId="24" xfId="0" applyFont="1" applyFill="1" applyBorder="1" applyAlignment="1" applyProtection="1">
      <alignment horizontal="center" shrinkToFit="1"/>
      <protection hidden="1"/>
    </xf>
    <xf numFmtId="10" fontId="3" fillId="2" borderId="11" xfId="0" applyNumberFormat="1" applyFont="1" applyFill="1" applyBorder="1" applyAlignment="1" applyProtection="1">
      <alignment horizontal="center" shrinkToFit="1"/>
      <protection hidden="1"/>
    </xf>
    <xf numFmtId="10" fontId="12" fillId="2" borderId="10" xfId="0" applyNumberFormat="1" applyFont="1" applyFill="1" applyBorder="1" applyAlignment="1" applyProtection="1">
      <alignment horizontal="center"/>
      <protection hidden="1"/>
    </xf>
    <xf numFmtId="10" fontId="12" fillId="2" borderId="11" xfId="0" applyNumberFormat="1" applyFont="1" applyFill="1" applyBorder="1" applyAlignment="1" applyProtection="1">
      <alignment horizontal="center"/>
      <protection hidden="1"/>
    </xf>
    <xf numFmtId="10" fontId="12" fillId="2" borderId="14" xfId="0" applyNumberFormat="1" applyFont="1" applyFill="1" applyBorder="1" applyAlignment="1" applyProtection="1">
      <alignment horizontal="center"/>
      <protection hidden="1"/>
    </xf>
    <xf numFmtId="166" fontId="3" fillId="5" borderId="57" xfId="3" applyFont="1" applyFill="1" applyBorder="1" applyAlignment="1" applyProtection="1">
      <alignment horizontal="left"/>
      <protection locked="0"/>
    </xf>
    <xf numFmtId="166" fontId="3" fillId="5" borderId="24" xfId="3" applyFont="1" applyFill="1" applyBorder="1" applyAlignment="1" applyProtection="1">
      <alignment horizontal="left"/>
      <protection locked="0"/>
    </xf>
    <xf numFmtId="166" fontId="3" fillId="5" borderId="50" xfId="3" applyFont="1" applyFill="1" applyBorder="1" applyAlignment="1" applyProtection="1">
      <alignment horizontal="left"/>
      <protection locked="0"/>
    </xf>
    <xf numFmtId="0" fontId="5" fillId="2" borderId="1" xfId="0" applyFont="1" applyFill="1" applyBorder="1" applyAlignment="1" applyProtection="1">
      <alignment horizontal="left"/>
      <protection hidden="1"/>
    </xf>
    <xf numFmtId="0" fontId="5" fillId="2" borderId="8" xfId="0" applyFont="1" applyFill="1" applyBorder="1" applyAlignment="1" applyProtection="1">
      <alignment horizontal="left"/>
      <protection hidden="1"/>
    </xf>
    <xf numFmtId="166" fontId="5" fillId="2" borderId="65" xfId="3" applyFont="1" applyFill="1" applyBorder="1" applyAlignment="1" applyProtection="1">
      <alignment horizontal="center"/>
      <protection hidden="1"/>
    </xf>
    <xf numFmtId="166" fontId="5" fillId="2" borderId="17" xfId="3" applyFont="1" applyFill="1" applyBorder="1" applyAlignment="1" applyProtection="1">
      <alignment horizontal="center"/>
      <protection hidden="1"/>
    </xf>
    <xf numFmtId="166" fontId="5" fillId="2" borderId="66" xfId="3" applyFont="1" applyFill="1" applyBorder="1" applyAlignment="1" applyProtection="1">
      <alignment horizontal="center"/>
      <protection hidden="1"/>
    </xf>
    <xf numFmtId="49" fontId="3" fillId="5" borderId="67" xfId="0" applyNumberFormat="1" applyFont="1" applyFill="1" applyBorder="1" applyAlignment="1" applyProtection="1">
      <alignment horizontal="left"/>
      <protection locked="0"/>
    </xf>
    <xf numFmtId="49" fontId="3" fillId="5" borderId="11" xfId="0" applyNumberFormat="1" applyFont="1" applyFill="1" applyBorder="1" applyAlignment="1" applyProtection="1">
      <alignment horizontal="left"/>
      <protection locked="0"/>
    </xf>
    <xf numFmtId="49" fontId="3" fillId="5" borderId="13" xfId="0" applyNumberFormat="1" applyFont="1" applyFill="1" applyBorder="1" applyAlignment="1" applyProtection="1">
      <alignment horizontal="left"/>
      <protection locked="0"/>
    </xf>
    <xf numFmtId="0" fontId="11" fillId="3" borderId="39" xfId="0" applyFont="1" applyFill="1" applyBorder="1" applyAlignment="1" applyProtection="1">
      <alignment horizontal="right"/>
      <protection hidden="1"/>
    </xf>
    <xf numFmtId="0" fontId="11" fillId="3" borderId="0" xfId="0" applyFont="1" applyFill="1" applyAlignment="1" applyProtection="1">
      <alignment horizontal="right"/>
      <protection hidden="1"/>
    </xf>
    <xf numFmtId="166" fontId="24" fillId="2" borderId="0" xfId="3" applyFont="1" applyFill="1" applyBorder="1" applyAlignment="1" applyProtection="1">
      <alignment horizontal="center" shrinkToFit="1"/>
      <protection hidden="1"/>
    </xf>
    <xf numFmtId="174" fontId="4" fillId="2" borderId="0" xfId="0" applyNumberFormat="1" applyFont="1" applyFill="1" applyAlignment="1" applyProtection="1">
      <alignment horizontal="left" shrinkToFit="1"/>
      <protection hidden="1"/>
    </xf>
    <xf numFmtId="174" fontId="4" fillId="2" borderId="48" xfId="0" applyNumberFormat="1" applyFont="1" applyFill="1" applyBorder="1" applyAlignment="1" applyProtection="1">
      <alignment horizontal="left" shrinkToFit="1"/>
      <protection hidden="1"/>
    </xf>
    <xf numFmtId="173" fontId="4" fillId="2" borderId="0" xfId="1" applyNumberFormat="1" applyFont="1" applyFill="1" applyBorder="1" applyAlignment="1" applyProtection="1">
      <alignment horizontal="left"/>
      <protection hidden="1"/>
    </xf>
    <xf numFmtId="168" fontId="0" fillId="2" borderId="24" xfId="0" applyNumberFormat="1" applyFill="1" applyBorder="1" applyAlignment="1" applyProtection="1">
      <alignment horizontal="left" shrinkToFit="1"/>
      <protection hidden="1"/>
    </xf>
    <xf numFmtId="0" fontId="11" fillId="3" borderId="39" xfId="0" applyFont="1" applyFill="1" applyBorder="1" applyAlignment="1" applyProtection="1">
      <alignment horizontal="center"/>
      <protection hidden="1"/>
    </xf>
    <xf numFmtId="0" fontId="11" fillId="3" borderId="48" xfId="0" applyFont="1" applyFill="1" applyBorder="1" applyAlignment="1" applyProtection="1">
      <alignment horizontal="center"/>
      <protection hidden="1"/>
    </xf>
    <xf numFmtId="166" fontId="3" fillId="5" borderId="52" xfId="3" applyFont="1" applyFill="1" applyBorder="1" applyAlignment="1" applyProtection="1">
      <alignment horizontal="left"/>
      <protection locked="0"/>
    </xf>
    <xf numFmtId="166" fontId="3" fillId="5" borderId="15" xfId="3" applyFont="1" applyFill="1" applyBorder="1" applyAlignment="1" applyProtection="1">
      <alignment horizontal="left"/>
      <protection locked="0"/>
    </xf>
    <xf numFmtId="166" fontId="3" fillId="5" borderId="62" xfId="3" applyFont="1" applyFill="1" applyBorder="1" applyAlignment="1" applyProtection="1">
      <alignment horizontal="left"/>
      <protection locked="0"/>
    </xf>
    <xf numFmtId="49" fontId="3" fillId="5" borderId="10" xfId="0" applyNumberFormat="1" applyFont="1" applyFill="1" applyBorder="1" applyAlignment="1" applyProtection="1">
      <alignment horizontal="left"/>
      <protection locked="0"/>
    </xf>
    <xf numFmtId="49" fontId="3" fillId="5" borderId="14" xfId="0" applyNumberFormat="1" applyFont="1" applyFill="1" applyBorder="1" applyAlignment="1" applyProtection="1">
      <alignment horizontal="left"/>
      <protection locked="0"/>
    </xf>
    <xf numFmtId="49" fontId="3" fillId="5" borderId="23" xfId="0" applyNumberFormat="1" applyFont="1" applyFill="1" applyBorder="1" applyAlignment="1" applyProtection="1">
      <alignment horizontal="left"/>
      <protection locked="0"/>
    </xf>
    <xf numFmtId="49" fontId="3" fillId="5" borderId="24" xfId="0" applyNumberFormat="1" applyFont="1" applyFill="1" applyBorder="1" applyAlignment="1" applyProtection="1">
      <alignment horizontal="left"/>
      <protection locked="0"/>
    </xf>
    <xf numFmtId="49" fontId="3" fillId="5" borderId="50" xfId="0" applyNumberFormat="1" applyFont="1" applyFill="1" applyBorder="1" applyAlignment="1" applyProtection="1">
      <alignment horizontal="left"/>
      <protection locked="0"/>
    </xf>
    <xf numFmtId="173" fontId="3" fillId="2" borderId="10" xfId="1" applyNumberFormat="1" applyFont="1" applyFill="1" applyBorder="1" applyAlignment="1" applyProtection="1">
      <alignment horizontal="center" shrinkToFit="1"/>
      <protection hidden="1"/>
    </xf>
    <xf numFmtId="173" fontId="3" fillId="2" borderId="11" xfId="1" applyNumberFormat="1" applyFont="1" applyFill="1" applyBorder="1" applyAlignment="1" applyProtection="1">
      <alignment horizontal="center" shrinkToFit="1"/>
      <protection hidden="1"/>
    </xf>
    <xf numFmtId="166" fontId="3" fillId="2" borderId="10" xfId="0" applyNumberFormat="1" applyFont="1" applyFill="1" applyBorder="1" applyAlignment="1" applyProtection="1">
      <alignment horizontal="left"/>
      <protection hidden="1"/>
    </xf>
    <xf numFmtId="166" fontId="3" fillId="2" borderId="11" xfId="0" applyNumberFormat="1" applyFont="1" applyFill="1" applyBorder="1" applyAlignment="1" applyProtection="1">
      <alignment horizontal="left"/>
      <protection hidden="1"/>
    </xf>
    <xf numFmtId="166" fontId="3" fillId="2" borderId="14" xfId="0" applyNumberFormat="1" applyFont="1" applyFill="1" applyBorder="1" applyAlignment="1" applyProtection="1">
      <alignment horizontal="left"/>
      <protection hidden="1"/>
    </xf>
    <xf numFmtId="10" fontId="5" fillId="5" borderId="41" xfId="0" applyNumberFormat="1" applyFont="1" applyFill="1" applyBorder="1" applyAlignment="1" applyProtection="1">
      <alignment horizontal="center"/>
      <protection locked="0"/>
    </xf>
    <xf numFmtId="0" fontId="0" fillId="0" borderId="20" xfId="0" applyBorder="1" applyProtection="1">
      <protection locked="0"/>
    </xf>
    <xf numFmtId="168" fontId="0" fillId="3" borderId="5" xfId="0" applyNumberFormat="1" applyFill="1" applyBorder="1" applyAlignment="1" applyProtection="1">
      <alignment horizontal="left" shrinkToFit="1"/>
      <protection hidden="1"/>
    </xf>
    <xf numFmtId="168" fontId="0" fillId="3" borderId="1" xfId="0" applyNumberFormat="1" applyFill="1" applyBorder="1" applyAlignment="1" applyProtection="1">
      <alignment horizontal="left" shrinkToFit="1"/>
      <protection hidden="1"/>
    </xf>
    <xf numFmtId="168" fontId="0" fillId="3" borderId="8" xfId="0" applyNumberFormat="1" applyFill="1" applyBorder="1" applyAlignment="1" applyProtection="1">
      <alignment horizontal="left" shrinkToFit="1"/>
      <protection hidden="1"/>
    </xf>
    <xf numFmtId="168" fontId="0" fillId="3" borderId="41" xfId="0" applyNumberFormat="1" applyFill="1" applyBorder="1" applyAlignment="1" applyProtection="1">
      <alignment horizontal="left" shrinkToFit="1"/>
      <protection hidden="1"/>
    </xf>
    <xf numFmtId="168" fontId="0" fillId="3" borderId="9" xfId="0" applyNumberFormat="1" applyFill="1" applyBorder="1" applyAlignment="1" applyProtection="1">
      <alignment horizontal="left" shrinkToFit="1"/>
      <protection hidden="1"/>
    </xf>
    <xf numFmtId="168" fontId="0" fillId="3" borderId="20" xfId="0" applyNumberFormat="1" applyFill="1" applyBorder="1" applyAlignment="1" applyProtection="1">
      <alignment horizontal="left" shrinkToFit="1"/>
      <protection hidden="1"/>
    </xf>
    <xf numFmtId="0" fontId="3" fillId="5" borderId="67" xfId="0" applyFont="1" applyFill="1" applyBorder="1" applyAlignment="1" applyProtection="1">
      <alignment horizontal="left"/>
      <protection locked="0"/>
    </xf>
    <xf numFmtId="0" fontId="3" fillId="5" borderId="11" xfId="0" applyFont="1" applyFill="1" applyBorder="1" applyAlignment="1" applyProtection="1">
      <alignment horizontal="left"/>
      <protection locked="0"/>
    </xf>
    <xf numFmtId="0" fontId="3" fillId="5" borderId="13" xfId="0" applyFont="1" applyFill="1" applyBorder="1" applyAlignment="1" applyProtection="1">
      <alignment horizontal="left"/>
      <protection locked="0"/>
    </xf>
    <xf numFmtId="0" fontId="20" fillId="2" borderId="0" xfId="0" applyFont="1" applyFill="1" applyAlignment="1" applyProtection="1">
      <alignment horizontal="left"/>
      <protection hidden="1"/>
    </xf>
    <xf numFmtId="0" fontId="11" fillId="3" borderId="24" xfId="0" applyFont="1" applyFill="1" applyBorder="1" applyAlignment="1" applyProtection="1">
      <alignment horizontal="right"/>
      <protection hidden="1"/>
    </xf>
    <xf numFmtId="166" fontId="11" fillId="3" borderId="0" xfId="3" applyFont="1" applyFill="1" applyBorder="1" applyAlignment="1" applyProtection="1">
      <alignment horizontal="center"/>
      <protection hidden="1"/>
    </xf>
    <xf numFmtId="166" fontId="3" fillId="5" borderId="41" xfId="3" applyFont="1" applyFill="1" applyBorder="1" applyAlignment="1" applyProtection="1">
      <alignment horizontal="left"/>
      <protection locked="0"/>
    </xf>
    <xf numFmtId="166" fontId="3" fillId="5" borderId="9" xfId="3" applyFont="1" applyFill="1" applyBorder="1" applyAlignment="1" applyProtection="1">
      <alignment horizontal="left"/>
      <protection locked="0"/>
    </xf>
    <xf numFmtId="166" fontId="3" fillId="5" borderId="38" xfId="3" applyFont="1" applyFill="1" applyBorder="1" applyAlignment="1" applyProtection="1">
      <alignment horizontal="left"/>
      <protection locked="0"/>
    </xf>
    <xf numFmtId="0" fontId="47" fillId="2" borderId="24" xfId="0" applyFont="1" applyFill="1" applyBorder="1" applyAlignment="1" applyProtection="1">
      <alignment horizontal="center"/>
      <protection hidden="1"/>
    </xf>
    <xf numFmtId="0" fontId="47" fillId="2" borderId="50" xfId="0" applyFont="1" applyFill="1" applyBorder="1" applyAlignment="1" applyProtection="1">
      <alignment horizontal="center"/>
      <protection hidden="1"/>
    </xf>
    <xf numFmtId="168" fontId="4" fillId="2" borderId="24" xfId="0" applyNumberFormat="1" applyFont="1" applyFill="1" applyBorder="1" applyAlignment="1" applyProtection="1">
      <alignment horizontal="center"/>
      <protection hidden="1"/>
    </xf>
    <xf numFmtId="0" fontId="11" fillId="2" borderId="39" xfId="0" applyFont="1" applyFill="1" applyBorder="1" applyAlignment="1" applyProtection="1">
      <alignment horizontal="center" shrinkToFit="1"/>
      <protection hidden="1"/>
    </xf>
    <xf numFmtId="0" fontId="11" fillId="2" borderId="0" xfId="0" applyFont="1" applyFill="1" applyAlignment="1" applyProtection="1">
      <alignment horizontal="center" shrinkToFit="1"/>
      <protection hidden="1"/>
    </xf>
    <xf numFmtId="166" fontId="11" fillId="3" borderId="24" xfId="3" applyFont="1" applyFill="1" applyBorder="1" applyAlignment="1" applyProtection="1">
      <alignment horizontal="center"/>
      <protection hidden="1"/>
    </xf>
    <xf numFmtId="0" fontId="11" fillId="2" borderId="0" xfId="0" applyFont="1" applyFill="1" applyAlignment="1" applyProtection="1">
      <alignment horizontal="left"/>
      <protection hidden="1"/>
    </xf>
    <xf numFmtId="0" fontId="1" fillId="2" borderId="0" xfId="0" applyFont="1" applyFill="1" applyAlignment="1" applyProtection="1">
      <alignment shrinkToFit="1"/>
      <protection hidden="1"/>
    </xf>
    <xf numFmtId="0" fontId="0" fillId="0" borderId="0" xfId="0" applyAlignment="1">
      <alignment shrinkToFit="1"/>
    </xf>
    <xf numFmtId="0" fontId="0" fillId="0" borderId="48" xfId="0" applyBorder="1" applyAlignment="1">
      <alignment shrinkToFit="1"/>
    </xf>
    <xf numFmtId="4" fontId="11" fillId="2" borderId="0" xfId="1" applyNumberFormat="1" applyFont="1" applyFill="1" applyBorder="1" applyAlignment="1" applyProtection="1">
      <alignment horizontal="center"/>
      <protection hidden="1"/>
    </xf>
    <xf numFmtId="0" fontId="22" fillId="3" borderId="52" xfId="0" applyFont="1" applyFill="1" applyBorder="1" applyAlignment="1">
      <alignment horizontal="center" readingOrder="2"/>
    </xf>
    <xf numFmtId="0" fontId="22" fillId="3" borderId="15" xfId="0" applyFont="1" applyFill="1" applyBorder="1" applyAlignment="1">
      <alignment horizontal="center" readingOrder="2"/>
    </xf>
    <xf numFmtId="0" fontId="22" fillId="3" borderId="62" xfId="0" applyFont="1" applyFill="1" applyBorder="1" applyAlignment="1">
      <alignment horizontal="center" readingOrder="2"/>
    </xf>
    <xf numFmtId="166" fontId="4" fillId="2" borderId="24" xfId="3" applyFont="1" applyFill="1" applyBorder="1" applyAlignment="1" applyProtection="1">
      <alignment horizontal="left" shrinkToFit="1"/>
      <protection hidden="1"/>
    </xf>
    <xf numFmtId="168" fontId="11" fillId="2" borderId="0" xfId="0" applyNumberFormat="1" applyFont="1" applyFill="1" applyAlignment="1" applyProtection="1">
      <alignment horizontal="center" shrinkToFit="1"/>
      <protection hidden="1"/>
    </xf>
    <xf numFmtId="168" fontId="11" fillId="2" borderId="48" xfId="0" applyNumberFormat="1" applyFont="1" applyFill="1" applyBorder="1" applyAlignment="1" applyProtection="1">
      <alignment horizontal="center" shrinkToFit="1"/>
      <protection hidden="1"/>
    </xf>
    <xf numFmtId="173" fontId="1" fillId="5" borderId="41" xfId="1" applyNumberFormat="1" applyFont="1" applyFill="1" applyBorder="1" applyAlignment="1" applyProtection="1">
      <alignment horizontal="center" shrinkToFit="1"/>
      <protection locked="0"/>
    </xf>
    <xf numFmtId="173" fontId="1" fillId="5" borderId="9" xfId="1" applyNumberFormat="1" applyFont="1" applyFill="1" applyBorder="1" applyAlignment="1" applyProtection="1">
      <alignment horizontal="center" shrinkToFit="1"/>
      <protection locked="0"/>
    </xf>
    <xf numFmtId="0" fontId="0" fillId="14" borderId="10" xfId="0" applyFill="1" applyBorder="1" applyAlignment="1" applyProtection="1">
      <alignment horizontal="center"/>
      <protection locked="0"/>
    </xf>
    <xf numFmtId="0" fontId="0" fillId="14" borderId="11" xfId="0" applyFill="1" applyBorder="1" applyAlignment="1" applyProtection="1">
      <alignment horizontal="center"/>
      <protection locked="0"/>
    </xf>
    <xf numFmtId="0" fontId="0" fillId="14" borderId="14" xfId="0" applyFill="1" applyBorder="1" applyAlignment="1" applyProtection="1">
      <alignment horizontal="center"/>
      <protection locked="0"/>
    </xf>
    <xf numFmtId="173" fontId="3" fillId="2" borderId="10" xfId="1" applyNumberFormat="1" applyFont="1" applyFill="1" applyBorder="1" applyAlignment="1" applyProtection="1">
      <alignment horizontal="center"/>
      <protection hidden="1"/>
    </xf>
    <xf numFmtId="173" fontId="3" fillId="2" borderId="11" xfId="1" applyNumberFormat="1" applyFont="1" applyFill="1" applyBorder="1" applyAlignment="1" applyProtection="1">
      <alignment horizontal="center"/>
      <protection hidden="1"/>
    </xf>
    <xf numFmtId="173" fontId="3" fillId="2" borderId="14" xfId="1" applyNumberFormat="1" applyFont="1" applyFill="1" applyBorder="1" applyAlignment="1" applyProtection="1">
      <alignment horizontal="center"/>
      <protection hidden="1"/>
    </xf>
    <xf numFmtId="0" fontId="26" fillId="3" borderId="39" xfId="0" applyFont="1" applyFill="1" applyBorder="1" applyAlignment="1" applyProtection="1">
      <alignment horizontal="left"/>
      <protection hidden="1"/>
    </xf>
    <xf numFmtId="0" fontId="26" fillId="3" borderId="0" xfId="0" applyFont="1" applyFill="1" applyAlignment="1" applyProtection="1">
      <alignment horizontal="left"/>
      <protection hidden="1"/>
    </xf>
    <xf numFmtId="173" fontId="3" fillId="5" borderId="10" xfId="1" applyNumberFormat="1" applyFont="1" applyFill="1" applyBorder="1" applyAlignment="1" applyProtection="1">
      <alignment horizontal="center"/>
      <protection locked="0"/>
    </xf>
    <xf numFmtId="173" fontId="3" fillId="5" borderId="11" xfId="1" applyNumberFormat="1" applyFont="1" applyFill="1" applyBorder="1" applyAlignment="1" applyProtection="1">
      <alignment horizontal="center"/>
      <protection locked="0"/>
    </xf>
    <xf numFmtId="9" fontId="26" fillId="2" borderId="0" xfId="0" applyNumberFormat="1" applyFont="1" applyFill="1" applyAlignment="1" applyProtection="1">
      <alignment horizontal="center"/>
      <protection hidden="1"/>
    </xf>
    <xf numFmtId="9" fontId="26" fillId="2" borderId="48" xfId="0" applyNumberFormat="1" applyFont="1" applyFill="1" applyBorder="1" applyAlignment="1" applyProtection="1">
      <alignment horizontal="center"/>
      <protection hidden="1"/>
    </xf>
    <xf numFmtId="173" fontId="3" fillId="2" borderId="11" xfId="0" applyNumberFormat="1" applyFont="1" applyFill="1" applyBorder="1" applyAlignment="1" applyProtection="1">
      <alignment horizontal="center"/>
      <protection hidden="1"/>
    </xf>
    <xf numFmtId="173" fontId="3" fillId="2" borderId="14" xfId="0" applyNumberFormat="1" applyFont="1" applyFill="1" applyBorder="1" applyAlignment="1" applyProtection="1">
      <alignment horizontal="center"/>
      <protection hidden="1"/>
    </xf>
    <xf numFmtId="0" fontId="11" fillId="2" borderId="24" xfId="0" applyFont="1" applyFill="1" applyBorder="1" applyAlignment="1" applyProtection="1">
      <alignment horizontal="right"/>
      <protection hidden="1"/>
    </xf>
    <xf numFmtId="0" fontId="11" fillId="2" borderId="63" xfId="0" applyFont="1" applyFill="1" applyBorder="1" applyAlignment="1" applyProtection="1">
      <alignment horizontal="right"/>
      <protection hidden="1"/>
    </xf>
    <xf numFmtId="168" fontId="11" fillId="2" borderId="57" xfId="0" applyNumberFormat="1" applyFont="1" applyFill="1" applyBorder="1" applyAlignment="1" applyProtection="1">
      <alignment horizontal="center" shrinkToFit="1"/>
      <protection hidden="1"/>
    </xf>
    <xf numFmtId="168" fontId="11" fillId="2" borderId="24" xfId="0" applyNumberFormat="1" applyFont="1" applyFill="1" applyBorder="1" applyAlignment="1" applyProtection="1">
      <alignment horizontal="center" shrinkToFit="1"/>
      <protection hidden="1"/>
    </xf>
    <xf numFmtId="168" fontId="11" fillId="2" borderId="50" xfId="0" applyNumberFormat="1" applyFont="1" applyFill="1" applyBorder="1" applyAlignment="1" applyProtection="1">
      <alignment horizontal="center" shrinkToFit="1"/>
      <protection hidden="1"/>
    </xf>
    <xf numFmtId="0" fontId="11" fillId="2" borderId="0" xfId="0" applyFont="1" applyFill="1" applyAlignment="1">
      <alignment horizontal="left" readingOrder="2"/>
    </xf>
    <xf numFmtId="0" fontId="0" fillId="0" borderId="0" xfId="0"/>
    <xf numFmtId="0" fontId="0" fillId="0" borderId="48" xfId="0" applyBorder="1"/>
    <xf numFmtId="168" fontId="4" fillId="2" borderId="0" xfId="0" applyNumberFormat="1" applyFont="1" applyFill="1" applyAlignment="1" applyProtection="1">
      <alignment horizontal="left" shrinkToFit="1"/>
      <protection hidden="1"/>
    </xf>
    <xf numFmtId="0" fontId="1" fillId="4" borderId="0" xfId="0" applyFont="1" applyFill="1" applyAlignment="1" applyProtection="1">
      <alignment horizontal="center"/>
      <protection hidden="1"/>
    </xf>
    <xf numFmtId="0" fontId="11" fillId="4" borderId="0" xfId="0" applyFont="1" applyFill="1" applyAlignment="1" applyProtection="1">
      <alignment horizontal="left"/>
      <protection hidden="1"/>
    </xf>
    <xf numFmtId="0" fontId="11" fillId="4" borderId="41" xfId="0" applyFont="1" applyFill="1" applyBorder="1" applyAlignment="1" applyProtection="1">
      <alignment horizontal="center"/>
      <protection hidden="1"/>
    </xf>
    <xf numFmtId="0" fontId="11" fillId="4" borderId="20" xfId="0" applyFont="1" applyFill="1" applyBorder="1" applyAlignment="1" applyProtection="1">
      <alignment horizontal="center"/>
      <protection hidden="1"/>
    </xf>
    <xf numFmtId="0" fontId="5" fillId="5" borderId="0" xfId="0" applyFont="1" applyFill="1" applyAlignment="1" applyProtection="1">
      <alignment horizontal="center" wrapText="1"/>
      <protection hidden="1"/>
    </xf>
    <xf numFmtId="0" fontId="5" fillId="5" borderId="0" xfId="0" applyFont="1" applyFill="1" applyAlignment="1" applyProtection="1">
      <alignment horizontal="center"/>
      <protection hidden="1"/>
    </xf>
    <xf numFmtId="0" fontId="5" fillId="5" borderId="7" xfId="0" applyFont="1" applyFill="1" applyBorder="1" applyAlignment="1" applyProtection="1">
      <alignment horizontal="center"/>
      <protection hidden="1"/>
    </xf>
    <xf numFmtId="0" fontId="11" fillId="5" borderId="0" xfId="0" applyFont="1" applyFill="1" applyAlignment="1" applyProtection="1">
      <alignment horizontal="center"/>
      <protection hidden="1"/>
    </xf>
    <xf numFmtId="0" fontId="11" fillId="5" borderId="7" xfId="0" applyFont="1" applyFill="1" applyBorder="1" applyAlignment="1" applyProtection="1">
      <alignment horizontal="center"/>
      <protection hidden="1"/>
    </xf>
    <xf numFmtId="176" fontId="11" fillId="5" borderId="4" xfId="0" applyNumberFormat="1" applyFont="1" applyFill="1" applyBorder="1" applyAlignment="1" applyProtection="1">
      <alignment horizontal="center"/>
      <protection hidden="1"/>
    </xf>
    <xf numFmtId="176" fontId="11" fillId="5" borderId="0" xfId="0" applyNumberFormat="1" applyFont="1" applyFill="1" applyAlignment="1" applyProtection="1">
      <alignment horizontal="center"/>
      <protection hidden="1"/>
    </xf>
    <xf numFmtId="176" fontId="12" fillId="5" borderId="4" xfId="0" applyNumberFormat="1" applyFont="1" applyFill="1" applyBorder="1" applyAlignment="1" applyProtection="1">
      <alignment horizontal="left"/>
      <protection hidden="1"/>
    </xf>
    <xf numFmtId="176" fontId="12" fillId="5" borderId="0" xfId="0" applyNumberFormat="1" applyFont="1" applyFill="1" applyAlignment="1" applyProtection="1">
      <alignment horizontal="left"/>
      <protection hidden="1"/>
    </xf>
    <xf numFmtId="175" fontId="12" fillId="5" borderId="0" xfId="0" applyNumberFormat="1" applyFont="1" applyFill="1" applyAlignment="1" applyProtection="1">
      <alignment horizontal="left"/>
      <protection hidden="1"/>
    </xf>
    <xf numFmtId="168" fontId="12" fillId="5" borderId="0" xfId="4" applyFont="1" applyFill="1" applyBorder="1" applyAlignment="1" applyProtection="1">
      <alignment horizontal="center" shrinkToFit="1"/>
      <protection hidden="1"/>
    </xf>
    <xf numFmtId="10" fontId="12" fillId="4" borderId="41" xfId="6" applyNumberFormat="1" applyFont="1" applyFill="1" applyBorder="1" applyAlignment="1" applyProtection="1">
      <alignment horizontal="center"/>
    </xf>
    <xf numFmtId="10" fontId="12" fillId="4" borderId="20" xfId="6" applyNumberFormat="1" applyFont="1" applyFill="1" applyBorder="1" applyAlignment="1" applyProtection="1">
      <alignment horizontal="center"/>
    </xf>
    <xf numFmtId="10" fontId="12" fillId="4" borderId="41" xfId="6" applyNumberFormat="1" applyFont="1" applyFill="1" applyBorder="1" applyAlignment="1" applyProtection="1">
      <alignment horizontal="center"/>
      <protection hidden="1"/>
    </xf>
    <xf numFmtId="10" fontId="12" fillId="4" borderId="20" xfId="6" applyNumberFormat="1" applyFont="1" applyFill="1" applyBorder="1" applyAlignment="1" applyProtection="1">
      <alignment horizontal="center"/>
      <protection hidden="1"/>
    </xf>
    <xf numFmtId="168" fontId="12" fillId="5" borderId="41" xfId="2" applyNumberFormat="1" applyFont="1" applyFill="1" applyBorder="1" applyAlignment="1" applyProtection="1">
      <alignment horizontal="center"/>
    </xf>
    <xf numFmtId="168" fontId="12" fillId="5" borderId="20" xfId="2" applyNumberFormat="1" applyFont="1" applyFill="1" applyBorder="1" applyAlignment="1" applyProtection="1">
      <alignment horizontal="center"/>
    </xf>
    <xf numFmtId="0" fontId="11" fillId="5" borderId="52" xfId="0" applyFont="1" applyFill="1" applyBorder="1" applyAlignment="1" applyProtection="1">
      <alignment horizontal="center"/>
      <protection hidden="1"/>
    </xf>
    <xf numFmtId="0" fontId="11" fillId="5" borderId="15" xfId="0" applyFont="1" applyFill="1" applyBorder="1" applyAlignment="1" applyProtection="1">
      <alignment horizontal="center"/>
      <protection hidden="1"/>
    </xf>
    <xf numFmtId="0" fontId="11" fillId="4" borderId="4" xfId="0" applyFont="1" applyFill="1" applyBorder="1" applyAlignment="1" applyProtection="1">
      <alignment horizontal="center"/>
      <protection hidden="1"/>
    </xf>
    <xf numFmtId="0" fontId="11" fillId="4" borderId="0" xfId="0" applyFont="1" applyFill="1" applyAlignment="1" applyProtection="1">
      <alignment horizontal="center"/>
      <protection hidden="1"/>
    </xf>
    <xf numFmtId="0" fontId="11" fillId="5" borderId="41" xfId="0" applyFont="1" applyFill="1" applyBorder="1" applyAlignment="1" applyProtection="1">
      <alignment horizontal="center"/>
      <protection hidden="1"/>
    </xf>
    <xf numFmtId="0" fontId="11" fillId="5" borderId="20" xfId="0" applyFont="1" applyFill="1" applyBorder="1" applyAlignment="1" applyProtection="1">
      <alignment horizontal="center"/>
      <protection hidden="1"/>
    </xf>
    <xf numFmtId="0" fontId="0" fillId="0" borderId="0" xfId="0" applyAlignment="1" applyProtection="1">
      <alignment horizontal="center"/>
      <protection hidden="1"/>
    </xf>
    <xf numFmtId="0" fontId="0" fillId="4" borderId="0" xfId="0" applyFill="1" applyAlignment="1" applyProtection="1">
      <alignment horizontal="center"/>
      <protection hidden="1"/>
    </xf>
    <xf numFmtId="182" fontId="29" fillId="4" borderId="0" xfId="0" applyNumberFormat="1" applyFont="1" applyFill="1" applyAlignment="1" applyProtection="1">
      <alignment horizontal="left" shrinkToFit="1"/>
      <protection hidden="1"/>
    </xf>
    <xf numFmtId="187" fontId="29" fillId="4" borderId="0" xfId="0" applyNumberFormat="1" applyFont="1" applyFill="1" applyAlignment="1" applyProtection="1">
      <alignment horizontal="center" shrinkToFit="1"/>
      <protection hidden="1"/>
    </xf>
    <xf numFmtId="176" fontId="30" fillId="4" borderId="0" xfId="0" applyNumberFormat="1" applyFont="1" applyFill="1" applyAlignment="1" applyProtection="1">
      <alignment horizontal="left"/>
      <protection hidden="1"/>
    </xf>
    <xf numFmtId="176" fontId="30" fillId="4" borderId="0" xfId="0" applyNumberFormat="1" applyFont="1" applyFill="1" applyAlignment="1" applyProtection="1">
      <alignment horizontal="center"/>
      <protection hidden="1"/>
    </xf>
    <xf numFmtId="176" fontId="30" fillId="4" borderId="0" xfId="0" applyNumberFormat="1" applyFont="1" applyFill="1" applyAlignment="1" applyProtection="1">
      <alignment horizontal="right"/>
      <protection hidden="1"/>
    </xf>
    <xf numFmtId="176" fontId="30" fillId="4" borderId="0" xfId="0" applyNumberFormat="1" applyFont="1" applyFill="1" applyAlignment="1" applyProtection="1">
      <alignment horizontal="center" shrinkToFit="1"/>
      <protection hidden="1"/>
    </xf>
    <xf numFmtId="176" fontId="0" fillId="0" borderId="0" xfId="0" applyNumberFormat="1" applyAlignment="1" applyProtection="1">
      <alignment horizontal="center" shrinkToFit="1"/>
      <protection hidden="1"/>
    </xf>
    <xf numFmtId="176" fontId="30" fillId="4" borderId="0" xfId="0" applyNumberFormat="1" applyFont="1" applyFill="1" applyAlignment="1" applyProtection="1">
      <alignment horizontal="left" shrinkToFit="1"/>
      <protection hidden="1"/>
    </xf>
    <xf numFmtId="167" fontId="30" fillId="4" borderId="0" xfId="0" applyNumberFormat="1" applyFont="1" applyFill="1" applyAlignment="1" applyProtection="1">
      <alignment horizontal="left"/>
      <protection hidden="1"/>
    </xf>
    <xf numFmtId="170" fontId="30" fillId="4" borderId="0" xfId="0" applyNumberFormat="1" applyFont="1" applyFill="1" applyAlignment="1" applyProtection="1">
      <alignment horizontal="left"/>
      <protection hidden="1"/>
    </xf>
    <xf numFmtId="0" fontId="30" fillId="4" borderId="0" xfId="0" applyFont="1" applyFill="1" applyAlignment="1" applyProtection="1">
      <alignment horizontal="center"/>
      <protection hidden="1"/>
    </xf>
    <xf numFmtId="0" fontId="30" fillId="4" borderId="0" xfId="0" applyFont="1" applyFill="1" applyAlignment="1" applyProtection="1">
      <alignment horizontal="left"/>
      <protection hidden="1"/>
    </xf>
    <xf numFmtId="176" fontId="29" fillId="4" borderId="0" xfId="0" applyNumberFormat="1" applyFont="1" applyFill="1" applyAlignment="1" applyProtection="1">
      <alignment horizontal="left"/>
      <protection hidden="1"/>
    </xf>
    <xf numFmtId="176" fontId="29" fillId="4" borderId="0" xfId="0" applyNumberFormat="1" applyFont="1" applyFill="1" applyAlignment="1" applyProtection="1">
      <alignment horizontal="center"/>
      <protection hidden="1"/>
    </xf>
    <xf numFmtId="176" fontId="30" fillId="4" borderId="0" xfId="0" applyNumberFormat="1" applyFont="1" applyFill="1" applyProtection="1">
      <protection hidden="1"/>
    </xf>
    <xf numFmtId="187" fontId="29" fillId="4" borderId="0" xfId="0" applyNumberFormat="1" applyFont="1" applyFill="1" applyAlignment="1" applyProtection="1">
      <alignment horizontal="left" shrinkToFit="1"/>
      <protection hidden="1"/>
    </xf>
    <xf numFmtId="0" fontId="28" fillId="4" borderId="0" xfId="0" applyFont="1" applyFill="1" applyAlignment="1" applyProtection="1">
      <alignment horizontal="center"/>
      <protection hidden="1"/>
    </xf>
    <xf numFmtId="0" fontId="29" fillId="4" borderId="0" xfId="0" applyFont="1" applyFill="1" applyAlignment="1" applyProtection="1">
      <alignment horizontal="center"/>
      <protection hidden="1"/>
    </xf>
    <xf numFmtId="0" fontId="0" fillId="0" borderId="0" xfId="0" applyAlignment="1">
      <alignment horizontal="center"/>
    </xf>
    <xf numFmtId="169" fontId="30" fillId="4" borderId="0" xfId="0" applyNumberFormat="1" applyFont="1" applyFill="1" applyAlignment="1" applyProtection="1">
      <alignment horizontal="center"/>
      <protection hidden="1"/>
    </xf>
    <xf numFmtId="0" fontId="27" fillId="4" borderId="0" xfId="0" applyFont="1" applyFill="1" applyAlignment="1" applyProtection="1">
      <alignment horizontal="center"/>
      <protection hidden="1"/>
    </xf>
    <xf numFmtId="176" fontId="29" fillId="4" borderId="0" xfId="0" applyNumberFormat="1" applyFont="1" applyFill="1" applyAlignment="1" applyProtection="1">
      <alignment horizontal="right" shrinkToFit="1"/>
      <protection hidden="1"/>
    </xf>
    <xf numFmtId="49" fontId="30" fillId="4" borderId="0" xfId="0" applyNumberFormat="1" applyFont="1" applyFill="1" applyAlignment="1" applyProtection="1">
      <alignment horizontal="center" shrinkToFit="1"/>
      <protection hidden="1"/>
    </xf>
    <xf numFmtId="49" fontId="30" fillId="4" borderId="0" xfId="0" applyNumberFormat="1" applyFont="1" applyFill="1" applyAlignment="1" applyProtection="1">
      <alignment horizontal="center"/>
      <protection hidden="1"/>
    </xf>
    <xf numFmtId="176" fontId="29" fillId="4" borderId="0" xfId="0" applyNumberFormat="1" applyFont="1" applyFill="1" applyAlignment="1" applyProtection="1">
      <alignment horizontal="left" shrinkToFit="1"/>
      <protection hidden="1"/>
    </xf>
    <xf numFmtId="49" fontId="30" fillId="4" borderId="0" xfId="0" applyNumberFormat="1" applyFont="1" applyFill="1" applyAlignment="1" applyProtection="1">
      <alignment horizontal="left"/>
      <protection hidden="1"/>
    </xf>
    <xf numFmtId="177" fontId="29" fillId="4" borderId="0" xfId="0" applyNumberFormat="1" applyFont="1" applyFill="1" applyAlignment="1" applyProtection="1">
      <alignment horizontal="right" shrinkToFit="1"/>
      <protection hidden="1"/>
    </xf>
    <xf numFmtId="176" fontId="71" fillId="0" borderId="4" xfId="0" applyNumberFormat="1" applyFont="1" applyBorder="1" applyProtection="1">
      <protection hidden="1"/>
    </xf>
    <xf numFmtId="0" fontId="70" fillId="0" borderId="0" xfId="0" applyFont="1"/>
    <xf numFmtId="176" fontId="71" fillId="0" borderId="0" xfId="0" applyNumberFormat="1" applyFont="1" applyAlignment="1" applyProtection="1">
      <alignment horizontal="left"/>
      <protection hidden="1"/>
    </xf>
    <xf numFmtId="0" fontId="71" fillId="0" borderId="0" xfId="0" applyFont="1" applyAlignment="1">
      <alignment horizontal="left"/>
    </xf>
    <xf numFmtId="0" fontId="30" fillId="0" borderId="7" xfId="0" applyFont="1" applyBorder="1" applyAlignment="1">
      <alignment horizontal="left"/>
    </xf>
    <xf numFmtId="176" fontId="29" fillId="4" borderId="7" xfId="0" applyNumberFormat="1" applyFont="1" applyFill="1" applyBorder="1" applyAlignment="1" applyProtection="1">
      <alignment horizontal="left" shrinkToFit="1"/>
      <protection hidden="1"/>
    </xf>
    <xf numFmtId="0" fontId="49" fillId="4" borderId="0" xfId="0" applyFont="1" applyFill="1" applyAlignment="1" applyProtection="1">
      <alignment horizontal="center"/>
      <protection hidden="1"/>
    </xf>
    <xf numFmtId="176" fontId="3" fillId="4" borderId="0" xfId="0" applyNumberFormat="1" applyFont="1" applyFill="1" applyAlignment="1">
      <alignment horizontal="left"/>
    </xf>
    <xf numFmtId="3" fontId="0" fillId="4" borderId="0" xfId="0" applyNumberFormat="1" applyFill="1" applyAlignment="1">
      <alignment horizontal="center"/>
    </xf>
    <xf numFmtId="176" fontId="0" fillId="4" borderId="0" xfId="0" applyNumberFormat="1" applyFill="1" applyAlignment="1">
      <alignment horizontal="left"/>
    </xf>
    <xf numFmtId="0" fontId="0" fillId="4" borderId="0" xfId="0" applyFill="1" applyAlignment="1">
      <alignment horizontal="center"/>
    </xf>
    <xf numFmtId="0" fontId="0" fillId="4" borderId="65" xfId="0" applyFill="1" applyBorder="1" applyAlignment="1">
      <alignment horizontal="center"/>
    </xf>
    <xf numFmtId="0" fontId="0" fillId="4" borderId="54" xfId="0" applyFill="1" applyBorder="1" applyAlignment="1">
      <alignment horizontal="center"/>
    </xf>
    <xf numFmtId="168" fontId="11" fillId="4" borderId="41" xfId="0" applyNumberFormat="1" applyFont="1" applyFill="1" applyBorder="1" applyAlignment="1">
      <alignment horizontal="center"/>
    </xf>
    <xf numFmtId="168" fontId="11" fillId="4" borderId="38" xfId="0" applyNumberFormat="1" applyFont="1" applyFill="1" applyBorder="1" applyAlignment="1">
      <alignment horizontal="center"/>
    </xf>
    <xf numFmtId="168" fontId="11" fillId="4" borderId="52" xfId="0" applyNumberFormat="1" applyFont="1" applyFill="1" applyBorder="1" applyAlignment="1">
      <alignment horizontal="center"/>
    </xf>
    <xf numFmtId="168" fontId="11" fillId="4" borderId="62" xfId="0" applyNumberFormat="1" applyFont="1" applyFill="1" applyBorder="1" applyAlignment="1">
      <alignment horizontal="center"/>
    </xf>
    <xf numFmtId="176" fontId="11" fillId="4" borderId="41" xfId="0" applyNumberFormat="1" applyFont="1" applyFill="1" applyBorder="1" applyAlignment="1">
      <alignment horizontal="center"/>
    </xf>
    <xf numFmtId="176" fontId="11" fillId="4" borderId="20" xfId="0" applyNumberFormat="1" applyFont="1" applyFill="1" applyBorder="1" applyAlignment="1">
      <alignment horizontal="center"/>
    </xf>
    <xf numFmtId="0" fontId="3" fillId="4" borderId="6" xfId="0" applyFont="1" applyFill="1" applyBorder="1" applyAlignment="1">
      <alignment horizontal="center"/>
    </xf>
    <xf numFmtId="0" fontId="3" fillId="4" borderId="2" xfId="0" applyFont="1" applyFill="1" applyBorder="1" applyAlignment="1">
      <alignment horizontal="center"/>
    </xf>
    <xf numFmtId="0" fontId="3" fillId="4" borderId="5" xfId="0" applyFont="1" applyFill="1" applyBorder="1" applyAlignment="1">
      <alignment horizontal="center"/>
    </xf>
    <xf numFmtId="0" fontId="3" fillId="4" borderId="1" xfId="0" applyFont="1" applyFill="1" applyBorder="1" applyAlignment="1">
      <alignment horizontal="center"/>
    </xf>
    <xf numFmtId="176" fontId="11" fillId="4" borderId="52" xfId="0" applyNumberFormat="1" applyFont="1" applyFill="1" applyBorder="1" applyAlignment="1" applyProtection="1">
      <alignment horizontal="center"/>
      <protection locked="0"/>
    </xf>
    <xf numFmtId="176" fontId="11" fillId="4" borderId="43" xfId="0" applyNumberFormat="1" applyFont="1" applyFill="1" applyBorder="1" applyAlignment="1" applyProtection="1">
      <alignment horizontal="center"/>
      <protection locked="0"/>
    </xf>
    <xf numFmtId="176" fontId="2" fillId="4" borderId="0" xfId="0" applyNumberFormat="1" applyFont="1" applyFill="1" applyAlignment="1">
      <alignment horizontal="left"/>
    </xf>
    <xf numFmtId="0" fontId="3" fillId="4" borderId="41" xfId="0" applyFont="1" applyFill="1" applyBorder="1" applyAlignment="1">
      <alignment horizontal="center"/>
    </xf>
    <xf numFmtId="0" fontId="3" fillId="4" borderId="9" xfId="0" applyFont="1" applyFill="1" applyBorder="1" applyAlignment="1">
      <alignment horizontal="center"/>
    </xf>
    <xf numFmtId="0" fontId="3" fillId="4" borderId="20" xfId="0" applyFont="1" applyFill="1" applyBorder="1" applyAlignment="1">
      <alignment horizontal="center"/>
    </xf>
    <xf numFmtId="0" fontId="38" fillId="12" borderId="0" xfId="0" applyFont="1" applyFill="1" applyAlignment="1">
      <alignment horizontal="center"/>
    </xf>
    <xf numFmtId="0" fontId="12" fillId="4" borderId="16" xfId="0" applyFont="1" applyFill="1" applyBorder="1" applyAlignment="1">
      <alignment horizontal="center"/>
    </xf>
    <xf numFmtId="0" fontId="12" fillId="4" borderId="17" xfId="0" applyFont="1" applyFill="1" applyBorder="1" applyAlignment="1">
      <alignment horizontal="center"/>
    </xf>
    <xf numFmtId="0" fontId="12" fillId="4" borderId="66" xfId="0" applyFont="1" applyFill="1" applyBorder="1" applyAlignment="1">
      <alignment horizontal="center"/>
    </xf>
    <xf numFmtId="0" fontId="0" fillId="4" borderId="17" xfId="0" applyFill="1" applyBorder="1" applyAlignment="1">
      <alignment horizontal="center"/>
    </xf>
    <xf numFmtId="0" fontId="0" fillId="4" borderId="66" xfId="0" applyFill="1" applyBorder="1" applyAlignment="1">
      <alignment horizontal="center"/>
    </xf>
    <xf numFmtId="0" fontId="81" fillId="4" borderId="0" xfId="0" applyFont="1" applyFill="1" applyAlignment="1">
      <alignment horizontal="center"/>
    </xf>
    <xf numFmtId="0" fontId="2" fillId="4" borderId="0" xfId="0" applyFont="1" applyFill="1" applyAlignment="1">
      <alignment horizontal="center"/>
    </xf>
    <xf numFmtId="0" fontId="49" fillId="4" borderId="0" xfId="0" applyFont="1" applyFill="1" applyAlignment="1">
      <alignment horizontal="center"/>
    </xf>
    <xf numFmtId="176" fontId="30" fillId="4" borderId="0" xfId="0" applyNumberFormat="1" applyFont="1" applyFill="1"/>
    <xf numFmtId="169" fontId="30" fillId="4" borderId="0" xfId="0" applyNumberFormat="1" applyFont="1" applyFill="1" applyAlignment="1">
      <alignment horizontal="center"/>
    </xf>
    <xf numFmtId="176" fontId="30" fillId="4" borderId="0" xfId="0" applyNumberFormat="1" applyFont="1" applyFill="1" applyAlignment="1">
      <alignment horizontal="center"/>
    </xf>
    <xf numFmtId="176" fontId="30" fillId="4" borderId="0" xfId="0" applyNumberFormat="1" applyFont="1" applyFill="1" applyAlignment="1">
      <alignment horizontal="left" shrinkToFit="1"/>
    </xf>
    <xf numFmtId="176" fontId="29" fillId="4" borderId="0" xfId="0" applyNumberFormat="1" applyFont="1" applyFill="1" applyAlignment="1">
      <alignment horizontal="left" shrinkToFit="1"/>
    </xf>
    <xf numFmtId="49" fontId="32" fillId="4" borderId="0" xfId="0" applyNumberFormat="1" applyFont="1" applyFill="1" applyAlignment="1">
      <alignment horizontal="left" shrinkToFit="1"/>
    </xf>
    <xf numFmtId="49" fontId="30" fillId="4" borderId="0" xfId="0" applyNumberFormat="1" applyFont="1" applyFill="1" applyAlignment="1">
      <alignment horizontal="left"/>
    </xf>
    <xf numFmtId="176" fontId="30" fillId="4" borderId="0" xfId="0" applyNumberFormat="1" applyFont="1" applyFill="1" applyAlignment="1">
      <alignment horizontal="left"/>
    </xf>
    <xf numFmtId="0" fontId="30" fillId="4" borderId="0" xfId="0" applyFont="1" applyFill="1" applyAlignment="1">
      <alignment horizontal="center"/>
    </xf>
    <xf numFmtId="49" fontId="32" fillId="4" borderId="0" xfId="0" applyNumberFormat="1" applyFont="1" applyFill="1" applyAlignment="1">
      <alignment horizontal="center"/>
    </xf>
    <xf numFmtId="170" fontId="30" fillId="4" borderId="0" xfId="0" applyNumberFormat="1" applyFont="1" applyFill="1" applyAlignment="1">
      <alignment horizontal="left"/>
    </xf>
    <xf numFmtId="187" fontId="29" fillId="4" borderId="0" xfId="0" applyNumberFormat="1" applyFont="1" applyFill="1" applyAlignment="1">
      <alignment horizontal="center" shrinkToFit="1"/>
    </xf>
    <xf numFmtId="176" fontId="30" fillId="4" borderId="0" xfId="0" applyNumberFormat="1" applyFont="1" applyFill="1" applyAlignment="1">
      <alignment horizontal="right"/>
    </xf>
    <xf numFmtId="176" fontId="29" fillId="4" borderId="7" xfId="0" applyNumberFormat="1" applyFont="1" applyFill="1" applyBorder="1" applyAlignment="1">
      <alignment horizontal="left" shrinkToFit="1"/>
    </xf>
    <xf numFmtId="176" fontId="29" fillId="4" borderId="0" xfId="0" applyNumberFormat="1" applyFont="1" applyFill="1" applyAlignment="1">
      <alignment horizontal="right"/>
    </xf>
    <xf numFmtId="0" fontId="71" fillId="4" borderId="4" xfId="0" applyFont="1" applyFill="1" applyBorder="1"/>
    <xf numFmtId="0" fontId="70" fillId="4" borderId="0" xfId="0" applyFont="1" applyFill="1"/>
    <xf numFmtId="0" fontId="0" fillId="0" borderId="7" xfId="0" applyBorder="1"/>
    <xf numFmtId="0" fontId="30" fillId="4" borderId="0" xfId="0" applyFont="1" applyFill="1" applyAlignment="1">
      <alignment horizontal="left"/>
    </xf>
    <xf numFmtId="176" fontId="29" fillId="4" borderId="0" xfId="0" applyNumberFormat="1" applyFont="1" applyFill="1" applyAlignment="1">
      <alignment horizontal="left"/>
    </xf>
    <xf numFmtId="176" fontId="29" fillId="4" borderId="0" xfId="0" applyNumberFormat="1" applyFont="1" applyFill="1" applyAlignment="1">
      <alignment horizontal="right" shrinkToFit="1"/>
    </xf>
    <xf numFmtId="49" fontId="51" fillId="4" borderId="0" xfId="0" applyNumberFormat="1" applyFont="1" applyFill="1" applyAlignment="1">
      <alignment horizontal="right"/>
    </xf>
    <xf numFmtId="168" fontId="12" fillId="4" borderId="0" xfId="0" applyNumberFormat="1" applyFont="1" applyFill="1" applyAlignment="1">
      <alignment horizontal="right"/>
    </xf>
    <xf numFmtId="175" fontId="12" fillId="4" borderId="0" xfId="0" applyNumberFormat="1" applyFont="1" applyFill="1" applyAlignment="1">
      <alignment horizontal="right"/>
    </xf>
    <xf numFmtId="0" fontId="11" fillId="5" borderId="0" xfId="0" applyFont="1" applyFill="1" applyAlignment="1">
      <alignment horizontal="left"/>
    </xf>
    <xf numFmtId="187" fontId="12" fillId="4" borderId="0" xfId="0" applyNumberFormat="1" applyFont="1" applyFill="1" applyAlignment="1">
      <alignment horizontal="right"/>
    </xf>
    <xf numFmtId="176" fontId="51" fillId="4" borderId="0" xfId="0" applyNumberFormat="1" applyFont="1" applyFill="1" applyAlignment="1">
      <alignment horizontal="center"/>
    </xf>
    <xf numFmtId="0" fontId="0" fillId="4" borderId="0" xfId="0" applyFill="1" applyAlignment="1" applyProtection="1">
      <alignment horizontal="center"/>
      <protection locked="0"/>
    </xf>
    <xf numFmtId="176" fontId="39" fillId="4" borderId="0" xfId="0" applyNumberFormat="1" applyFont="1" applyFill="1" applyAlignment="1">
      <alignment horizontal="left"/>
    </xf>
    <xf numFmtId="0" fontId="11" fillId="5" borderId="0" xfId="0" applyFont="1" applyFill="1" applyAlignment="1">
      <alignment horizontal="center"/>
    </xf>
    <xf numFmtId="0" fontId="52" fillId="4" borderId="0" xfId="0" applyFont="1" applyFill="1" applyAlignment="1">
      <alignment horizontal="right"/>
    </xf>
    <xf numFmtId="0" fontId="39" fillId="4" borderId="0" xfId="0" applyFont="1" applyFill="1" applyAlignment="1" applyProtection="1">
      <alignment horizontal="center"/>
      <protection locked="0"/>
    </xf>
    <xf numFmtId="0" fontId="51" fillId="4" borderId="0" xfId="0" applyFont="1" applyFill="1" applyAlignment="1" applyProtection="1">
      <alignment horizontal="center"/>
      <protection locked="0"/>
    </xf>
    <xf numFmtId="0" fontId="39" fillId="4" borderId="0" xfId="0" applyFont="1" applyFill="1" applyAlignment="1" applyProtection="1">
      <alignment horizontal="center" shrinkToFit="1"/>
      <protection locked="0"/>
    </xf>
    <xf numFmtId="0" fontId="51" fillId="4" borderId="0" xfId="0" applyFont="1" applyFill="1" applyAlignment="1" applyProtection="1">
      <alignment horizontal="center" shrinkToFit="1"/>
      <protection locked="0"/>
    </xf>
    <xf numFmtId="0" fontId="51" fillId="4" borderId="0" xfId="0" applyFont="1" applyFill="1" applyAlignment="1">
      <alignment horizontal="right"/>
    </xf>
    <xf numFmtId="0" fontId="51" fillId="4" borderId="0" xfId="0" applyFont="1" applyFill="1" applyAlignment="1">
      <alignment horizontal="center"/>
    </xf>
    <xf numFmtId="10" fontId="12" fillId="4" borderId="0" xfId="6" applyNumberFormat="1" applyFont="1" applyFill="1" applyBorder="1" applyAlignment="1" applyProtection="1">
      <alignment horizontal="center"/>
    </xf>
    <xf numFmtId="0" fontId="11" fillId="5" borderId="6" xfId="0" applyFont="1" applyFill="1" applyBorder="1" applyAlignment="1">
      <alignment horizontal="center"/>
    </xf>
    <xf numFmtId="0" fontId="11" fillId="5" borderId="3" xfId="0" applyFont="1" applyFill="1" applyBorder="1" applyAlignment="1">
      <alignment horizontal="center"/>
    </xf>
    <xf numFmtId="0" fontId="12" fillId="5" borderId="41" xfId="0" applyFont="1" applyFill="1" applyBorder="1" applyAlignment="1" applyProtection="1">
      <alignment horizontal="center"/>
      <protection locked="0"/>
    </xf>
    <xf numFmtId="0" fontId="12" fillId="5" borderId="20" xfId="0" applyFont="1" applyFill="1" applyBorder="1" applyAlignment="1" applyProtection="1">
      <alignment horizontal="center"/>
      <protection locked="0"/>
    </xf>
    <xf numFmtId="14" fontId="12" fillId="5" borderId="41" xfId="0" applyNumberFormat="1" applyFont="1" applyFill="1" applyBorder="1" applyAlignment="1" applyProtection="1">
      <alignment horizontal="center"/>
      <protection locked="0"/>
    </xf>
    <xf numFmtId="14" fontId="12" fillId="5" borderId="20" xfId="0" applyNumberFormat="1" applyFont="1" applyFill="1" applyBorder="1" applyAlignment="1" applyProtection="1">
      <alignment horizontal="center"/>
      <protection locked="0"/>
    </xf>
    <xf numFmtId="0" fontId="11" fillId="5" borderId="1" xfId="0" applyFont="1" applyFill="1" applyBorder="1" applyAlignment="1">
      <alignment horizontal="center"/>
    </xf>
    <xf numFmtId="0" fontId="11" fillId="5" borderId="8" xfId="0" applyFont="1" applyFill="1" applyBorder="1" applyAlignment="1">
      <alignment horizontal="center"/>
    </xf>
    <xf numFmtId="0" fontId="11" fillId="4" borderId="0" xfId="0" applyFont="1" applyFill="1" applyAlignment="1">
      <alignment horizontal="center"/>
    </xf>
    <xf numFmtId="168" fontId="12" fillId="5" borderId="41" xfId="2" applyNumberFormat="1" applyFont="1" applyFill="1" applyBorder="1" applyAlignment="1">
      <alignment horizontal="center"/>
    </xf>
    <xf numFmtId="168" fontId="12" fillId="5" borderId="9" xfId="2" applyNumberFormat="1" applyFont="1" applyFill="1" applyBorder="1" applyAlignment="1">
      <alignment horizontal="center"/>
    </xf>
    <xf numFmtId="0" fontId="11" fillId="5" borderId="5" xfId="0" applyFont="1" applyFill="1" applyBorder="1" applyAlignment="1">
      <alignment horizontal="center"/>
    </xf>
    <xf numFmtId="10" fontId="12" fillId="4" borderId="0" xfId="6" applyNumberFormat="1" applyFont="1" applyFill="1" applyBorder="1" applyAlignment="1">
      <alignment horizontal="center"/>
    </xf>
    <xf numFmtId="168" fontId="12" fillId="5" borderId="20" xfId="2" applyNumberFormat="1" applyFont="1" applyFill="1" applyBorder="1" applyAlignment="1">
      <alignment horizontal="center"/>
    </xf>
    <xf numFmtId="0" fontId="11" fillId="5" borderId="0" xfId="0" applyFont="1" applyFill="1" applyAlignment="1">
      <alignment horizontal="right"/>
    </xf>
    <xf numFmtId="176" fontId="3" fillId="4" borderId="0" xfId="0" applyNumberFormat="1" applyFont="1" applyFill="1" applyAlignment="1">
      <alignment horizontal="left" shrinkToFit="1"/>
    </xf>
    <xf numFmtId="0" fontId="4" fillId="4" borderId="0" xfId="0" applyFont="1" applyFill="1" applyAlignment="1">
      <alignment horizontal="center"/>
    </xf>
    <xf numFmtId="0" fontId="11" fillId="5" borderId="2" xfId="0" applyFont="1" applyFill="1" applyBorder="1" applyAlignment="1">
      <alignment horizontal="center"/>
    </xf>
    <xf numFmtId="168" fontId="12" fillId="0" borderId="0" xfId="0" applyNumberFormat="1" applyFont="1" applyAlignment="1">
      <alignment horizontal="center"/>
    </xf>
    <xf numFmtId="168" fontId="3" fillId="4" borderId="41" xfId="0" applyNumberFormat="1" applyFont="1" applyFill="1" applyBorder="1" applyAlignment="1" applyProtection="1">
      <alignment horizontal="center"/>
      <protection locked="0"/>
    </xf>
    <xf numFmtId="168" fontId="3" fillId="4" borderId="20" xfId="0" applyNumberFormat="1" applyFont="1" applyFill="1" applyBorder="1" applyAlignment="1" applyProtection="1">
      <alignment horizontal="center"/>
      <protection locked="0"/>
    </xf>
    <xf numFmtId="168" fontId="11" fillId="5" borderId="0" xfId="1" applyNumberFormat="1" applyFont="1" applyFill="1" applyBorder="1" applyAlignment="1" applyProtection="1">
      <alignment horizontal="center" shrinkToFit="1"/>
    </xf>
    <xf numFmtId="168" fontId="18" fillId="4" borderId="0" xfId="0" applyNumberFormat="1" applyFont="1" applyFill="1" applyAlignment="1">
      <alignment horizontal="center"/>
    </xf>
    <xf numFmtId="0" fontId="2" fillId="5" borderId="41" xfId="0" applyFont="1" applyFill="1" applyBorder="1" applyAlignment="1">
      <alignment horizontal="center"/>
    </xf>
    <xf numFmtId="0" fontId="2" fillId="0" borderId="9" xfId="0" applyFont="1" applyBorder="1"/>
    <xf numFmtId="0" fontId="2" fillId="0" borderId="20" xfId="0" applyFont="1" applyBorder="1"/>
    <xf numFmtId="0" fontId="3" fillId="0" borderId="0" xfId="0" applyFont="1" applyAlignment="1">
      <alignment horizontal="right"/>
    </xf>
    <xf numFmtId="0" fontId="20" fillId="4" borderId="0" xfId="0" applyFont="1" applyFill="1" applyAlignment="1">
      <alignment horizontal="center"/>
    </xf>
    <xf numFmtId="187" fontId="12" fillId="4" borderId="0" xfId="0" applyNumberFormat="1" applyFont="1" applyFill="1" applyAlignment="1">
      <alignment horizontal="center"/>
    </xf>
    <xf numFmtId="49" fontId="11" fillId="5" borderId="41" xfId="0" applyNumberFormat="1" applyFont="1" applyFill="1" applyBorder="1" applyAlignment="1" applyProtection="1">
      <alignment horizontal="center"/>
      <protection locked="0"/>
    </xf>
    <xf numFmtId="49" fontId="11" fillId="5" borderId="9" xfId="0" applyNumberFormat="1" applyFont="1" applyFill="1" applyBorder="1" applyAlignment="1" applyProtection="1">
      <alignment horizontal="center"/>
      <protection locked="0"/>
    </xf>
    <xf numFmtId="49" fontId="11" fillId="5" borderId="20" xfId="0" applyNumberFormat="1" applyFont="1" applyFill="1" applyBorder="1" applyAlignment="1" applyProtection="1">
      <alignment horizontal="center"/>
      <protection locked="0"/>
    </xf>
    <xf numFmtId="168" fontId="20" fillId="4" borderId="0" xfId="0" applyNumberFormat="1" applyFont="1" applyFill="1" applyAlignment="1">
      <alignment horizontal="center"/>
    </xf>
    <xf numFmtId="168" fontId="18" fillId="5" borderId="0" xfId="0" applyNumberFormat="1" applyFont="1" applyFill="1" applyAlignment="1">
      <alignment horizontal="center"/>
    </xf>
    <xf numFmtId="0" fontId="20" fillId="0" borderId="0" xfId="0" applyFont="1" applyAlignment="1">
      <alignment horizontal="center"/>
    </xf>
    <xf numFmtId="0" fontId="54" fillId="4" borderId="0" xfId="0" applyFont="1" applyFill="1" applyAlignment="1" applyProtection="1">
      <alignment horizontal="center"/>
      <protection hidden="1"/>
    </xf>
    <xf numFmtId="168" fontId="82" fillId="13" borderId="101" xfId="0" applyNumberFormat="1" applyFont="1" applyFill="1" applyBorder="1" applyAlignment="1">
      <alignment horizontal="right"/>
    </xf>
    <xf numFmtId="0" fontId="68" fillId="15" borderId="102" xfId="0" applyFont="1" applyFill="1" applyBorder="1"/>
    <xf numFmtId="0" fontId="68" fillId="15" borderId="103" xfId="0" applyFont="1" applyFill="1" applyBorder="1"/>
    <xf numFmtId="0" fontId="84" fillId="0" borderId="0" xfId="0" applyFont="1" applyAlignment="1">
      <alignment horizontal="center" vertical="center" wrapText="1"/>
    </xf>
    <xf numFmtId="0" fontId="0" fillId="0" borderId="0" xfId="0" applyAlignment="1">
      <alignment horizontal="left" vertical="center" wrapText="1"/>
    </xf>
    <xf numFmtId="0" fontId="68" fillId="0" borderId="0" xfId="0" applyFont="1" applyAlignment="1">
      <alignment horizontal="center" wrapText="1"/>
    </xf>
    <xf numFmtId="168" fontId="82" fillId="0" borderId="104" xfId="0" applyNumberFormat="1" applyFont="1" applyBorder="1" applyAlignment="1">
      <alignment horizontal="center"/>
    </xf>
    <xf numFmtId="0" fontId="68" fillId="0" borderId="105" xfId="0" applyFont="1" applyBorder="1"/>
    <xf numFmtId="168" fontId="82" fillId="0" borderId="106" xfId="0" applyNumberFormat="1" applyFont="1" applyBorder="1" applyAlignment="1">
      <alignment horizontal="center" wrapText="1"/>
    </xf>
    <xf numFmtId="0" fontId="68" fillId="0" borderId="105" xfId="0" applyFont="1" applyBorder="1" applyAlignment="1">
      <alignment wrapText="1"/>
    </xf>
    <xf numFmtId="0" fontId="76" fillId="0" borderId="107" xfId="0" applyFont="1" applyBorder="1" applyAlignment="1">
      <alignment horizontal="center" vertical="center"/>
    </xf>
    <xf numFmtId="0" fontId="68" fillId="0" borderId="108" xfId="0" applyFont="1" applyBorder="1"/>
    <xf numFmtId="168" fontId="82" fillId="0" borderId="109" xfId="0" applyNumberFormat="1" applyFont="1" applyBorder="1" applyAlignment="1">
      <alignment horizontal="center"/>
    </xf>
    <xf numFmtId="0" fontId="68" fillId="0" borderId="110" xfId="0" applyFont="1" applyBorder="1"/>
    <xf numFmtId="0" fontId="68" fillId="0" borderId="111" xfId="0" applyFont="1" applyBorder="1"/>
    <xf numFmtId="168" fontId="82" fillId="0" borderId="106" xfId="0" applyNumberFormat="1" applyFont="1" applyBorder="1" applyAlignment="1">
      <alignment horizontal="center"/>
    </xf>
    <xf numFmtId="0" fontId="82" fillId="13" borderId="112" xfId="0" applyFont="1" applyFill="1" applyBorder="1" applyAlignment="1">
      <alignment horizontal="right"/>
    </xf>
    <xf numFmtId="0" fontId="68" fillId="15" borderId="113" xfId="0" applyFont="1" applyFill="1" applyBorder="1"/>
    <xf numFmtId="168" fontId="76" fillId="13" borderId="112" xfId="0" applyNumberFormat="1" applyFont="1" applyFill="1" applyBorder="1" applyAlignment="1">
      <alignment horizontal="center"/>
    </xf>
    <xf numFmtId="0" fontId="68" fillId="15" borderId="114" xfId="0" applyFont="1" applyFill="1" applyBorder="1"/>
    <xf numFmtId="0" fontId="83" fillId="4" borderId="0" xfId="7" applyFont="1" applyFill="1" applyAlignment="1" applyProtection="1">
      <alignment horizontal="center" vertical="center"/>
      <protection hidden="1"/>
    </xf>
    <xf numFmtId="0" fontId="83" fillId="4" borderId="78" xfId="7" applyFont="1" applyFill="1" applyBorder="1" applyAlignment="1" applyProtection="1">
      <alignment horizontal="center" vertical="center"/>
      <protection hidden="1"/>
    </xf>
    <xf numFmtId="49" fontId="1" fillId="4" borderId="82" xfId="7" applyNumberFormat="1" applyFill="1" applyBorder="1" applyAlignment="1" applyProtection="1">
      <alignment horizontal="left"/>
      <protection hidden="1"/>
    </xf>
    <xf numFmtId="49" fontId="1" fillId="4" borderId="81" xfId="7" applyNumberFormat="1" applyFill="1" applyBorder="1" applyAlignment="1" applyProtection="1">
      <alignment horizontal="left"/>
      <protection hidden="1"/>
    </xf>
    <xf numFmtId="49" fontId="1" fillId="4" borderId="80" xfId="7" applyNumberFormat="1" applyFill="1" applyBorder="1" applyAlignment="1" applyProtection="1">
      <alignment horizontal="left"/>
      <protection hidden="1"/>
    </xf>
    <xf numFmtId="0" fontId="1" fillId="4" borderId="82" xfId="7" applyFill="1" applyBorder="1" applyAlignment="1" applyProtection="1">
      <alignment horizontal="left" vertical="center"/>
      <protection hidden="1"/>
    </xf>
    <xf numFmtId="0" fontId="1" fillId="4" borderId="81" xfId="7" applyFill="1" applyBorder="1" applyAlignment="1" applyProtection="1">
      <alignment horizontal="left" vertical="center"/>
      <protection hidden="1"/>
    </xf>
    <xf numFmtId="0" fontId="1" fillId="4" borderId="80" xfId="7" applyFill="1" applyBorder="1" applyAlignment="1" applyProtection="1">
      <alignment horizontal="left" vertical="center"/>
      <protection hidden="1"/>
    </xf>
    <xf numFmtId="0" fontId="1" fillId="4" borderId="82" xfId="7" applyFill="1" applyBorder="1" applyProtection="1">
      <protection hidden="1"/>
    </xf>
    <xf numFmtId="0" fontId="1" fillId="4" borderId="81" xfId="7" applyFill="1" applyBorder="1" applyProtection="1">
      <protection hidden="1"/>
    </xf>
    <xf numFmtId="0" fontId="1" fillId="4" borderId="80" xfId="7" applyFill="1" applyBorder="1" applyProtection="1">
      <protection hidden="1"/>
    </xf>
    <xf numFmtId="1" fontId="1" fillId="4" borderId="115" xfId="7" applyNumberFormat="1" applyFill="1" applyBorder="1" applyAlignment="1" applyProtection="1">
      <alignment horizontal="center"/>
      <protection hidden="1"/>
    </xf>
    <xf numFmtId="0" fontId="1" fillId="4" borderId="115" xfId="7" applyFill="1" applyBorder="1" applyAlignment="1" applyProtection="1">
      <alignment horizontal="center"/>
      <protection hidden="1"/>
    </xf>
    <xf numFmtId="0" fontId="1" fillId="4" borderId="85" xfId="7" applyFill="1" applyBorder="1" applyProtection="1">
      <protection hidden="1"/>
    </xf>
    <xf numFmtId="0" fontId="1" fillId="4" borderId="81" xfId="7" applyFill="1" applyBorder="1" applyAlignment="1" applyProtection="1">
      <alignment horizontal="left"/>
      <protection hidden="1"/>
    </xf>
    <xf numFmtId="0" fontId="1" fillId="4" borderId="84" xfId="7" applyFill="1" applyBorder="1" applyProtection="1">
      <protection hidden="1"/>
    </xf>
    <xf numFmtId="0" fontId="1" fillId="4" borderId="83" xfId="7" applyFill="1" applyBorder="1" applyProtection="1">
      <protection hidden="1"/>
    </xf>
    <xf numFmtId="0" fontId="1" fillId="4" borderId="79" xfId="7" applyFill="1" applyBorder="1" applyAlignment="1" applyProtection="1">
      <alignment horizontal="left"/>
      <protection hidden="1"/>
    </xf>
    <xf numFmtId="0" fontId="1" fillId="4" borderId="0" xfId="7" applyFill="1" applyAlignment="1" applyProtection="1">
      <alignment horizontal="left"/>
      <protection hidden="1"/>
    </xf>
    <xf numFmtId="0" fontId="1" fillId="4" borderId="0" xfId="7" applyFill="1" applyAlignment="1" applyProtection="1">
      <alignment horizontal="center"/>
      <protection hidden="1"/>
    </xf>
    <xf numFmtId="0" fontId="11" fillId="0" borderId="76" xfId="7" applyFont="1" applyBorder="1" applyAlignment="1" applyProtection="1">
      <alignment horizontal="right"/>
      <protection hidden="1"/>
    </xf>
    <xf numFmtId="0" fontId="11" fillId="0" borderId="75" xfId="7" applyFont="1" applyBorder="1" applyAlignment="1" applyProtection="1">
      <alignment horizontal="right"/>
      <protection hidden="1"/>
    </xf>
  </cellXfs>
  <cellStyles count="8">
    <cellStyle name="Millares" xfId="1" builtinId="3"/>
    <cellStyle name="Millares_Anexa" xfId="2" xr:uid="{00000000-0005-0000-0000-000001000000}"/>
    <cellStyle name="Moneda" xfId="3" builtinId="4"/>
    <cellStyle name="Moneda_Anexa" xfId="4" xr:uid="{00000000-0005-0000-0000-000003000000}"/>
    <cellStyle name="Normal" xfId="0" builtinId="0"/>
    <cellStyle name="Normal 2" xfId="5" xr:uid="{00000000-0005-0000-0000-000005000000}"/>
    <cellStyle name="Normal 3" xfId="7" xr:uid="{00000000-0005-0000-0000-000006000000}"/>
    <cellStyle name="Porcentaje"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7</xdr:col>
      <xdr:colOff>495300</xdr:colOff>
      <xdr:row>4</xdr:row>
      <xdr:rowOff>152400</xdr:rowOff>
    </xdr:to>
    <xdr:grpSp>
      <xdr:nvGrpSpPr>
        <xdr:cNvPr id="13505" name="Group 3">
          <a:extLst>
            <a:ext uri="{FF2B5EF4-FFF2-40B4-BE49-F238E27FC236}">
              <a16:creationId xmlns:a16="http://schemas.microsoft.com/office/drawing/2014/main" id="{00000000-0008-0000-0000-0000C1340000}"/>
            </a:ext>
          </a:extLst>
        </xdr:cNvPr>
        <xdr:cNvGrpSpPr>
          <a:grpSpLocks/>
        </xdr:cNvGrpSpPr>
      </xdr:nvGrpSpPr>
      <xdr:grpSpPr bwMode="auto">
        <a:xfrm>
          <a:off x="152400" y="200025"/>
          <a:ext cx="6257925" cy="619125"/>
          <a:chOff x="16" y="4"/>
          <a:chExt cx="657" cy="65"/>
        </a:xfrm>
      </xdr:grpSpPr>
      <xdr:pic>
        <xdr:nvPicPr>
          <xdr:cNvPr id="13506" name="Imagen 2">
            <a:extLst>
              <a:ext uri="{FF2B5EF4-FFF2-40B4-BE49-F238E27FC236}">
                <a16:creationId xmlns:a16="http://schemas.microsoft.com/office/drawing/2014/main" id="{00000000-0008-0000-0000-0000C234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101" name="1 Cuadro de texto">
            <a:extLst>
              <a:ext uri="{FF2B5EF4-FFF2-40B4-BE49-F238E27FC236}">
                <a16:creationId xmlns:a16="http://schemas.microsoft.com/office/drawing/2014/main" id="{00000000-0008-0000-0000-000005100000}"/>
              </a:ext>
            </a:extLst>
          </xdr:cNvPr>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152400</xdr:colOff>
      <xdr:row>2</xdr:row>
      <xdr:rowOff>19050</xdr:rowOff>
    </xdr:from>
    <xdr:to>
      <xdr:col>12</xdr:col>
      <xdr:colOff>0</xdr:colOff>
      <xdr:row>7</xdr:row>
      <xdr:rowOff>76200</xdr:rowOff>
    </xdr:to>
    <xdr:sp macro="" textlink="">
      <xdr:nvSpPr>
        <xdr:cNvPr id="9" name="Text Box 1">
          <a:extLst>
            <a:ext uri="{FF2B5EF4-FFF2-40B4-BE49-F238E27FC236}">
              <a16:creationId xmlns:a16="http://schemas.microsoft.com/office/drawing/2014/main" id="{00000000-0008-0000-0D00-000009000000}"/>
            </a:ext>
          </a:extLst>
        </xdr:cNvPr>
        <xdr:cNvSpPr txBox="1">
          <a:spLocks noChangeArrowheads="1"/>
        </xdr:cNvSpPr>
      </xdr:nvSpPr>
      <xdr:spPr bwMode="auto">
        <a:xfrm>
          <a:off x="1447800" y="361950"/>
          <a:ext cx="3209925" cy="866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s-ES" sz="2000" b="1" i="0" u="none" strike="noStrike" baseline="0">
              <a:solidFill>
                <a:srgbClr val="000000"/>
              </a:solidFill>
              <a:latin typeface="Arial"/>
              <a:cs typeface="Arial"/>
            </a:rPr>
            <a:t>IMPUESTO DE SELLOS</a:t>
          </a:r>
          <a:endParaRPr lang="es-ES" sz="1200" b="1" i="0" u="none" strike="noStrike" baseline="0">
            <a:solidFill>
              <a:srgbClr val="000000"/>
            </a:solidFill>
            <a:latin typeface="Arial"/>
            <a:cs typeface="Arial"/>
          </a:endParaRPr>
        </a:p>
        <a:p>
          <a:pPr algn="ctr" rtl="0">
            <a:defRPr sz="1000"/>
          </a:pPr>
          <a:r>
            <a:rPr lang="es-ES" sz="1200" b="1" i="0" u="none" strike="noStrike" baseline="0">
              <a:solidFill>
                <a:srgbClr val="000000"/>
              </a:solidFill>
              <a:latin typeface="Arial"/>
              <a:cs typeface="Arial"/>
            </a:rPr>
            <a:t>UBICACIÓN DE BIENES Y PRESTACIONES</a:t>
          </a:r>
        </a:p>
        <a:p>
          <a:pPr algn="ctr" rtl="0">
            <a:defRPr sz="1000"/>
          </a:pPr>
          <a:r>
            <a:rPr lang="es-ES" sz="1200" b="1" i="0" u="none" strike="noStrike" baseline="0">
              <a:solidFill>
                <a:srgbClr val="000000"/>
              </a:solidFill>
              <a:latin typeface="Arial"/>
              <a:cs typeface="Arial"/>
            </a:rPr>
            <a:t>Declaracion Jurada</a:t>
          </a:r>
        </a:p>
        <a:p>
          <a:pPr algn="ctr" rtl="0">
            <a:defRPr sz="1000"/>
          </a:pPr>
          <a:endParaRPr lang="es-ES" sz="1200" b="1" i="0" u="none" strike="noStrike" baseline="0">
            <a:solidFill>
              <a:srgbClr val="000000"/>
            </a:solidFill>
            <a:latin typeface="Arial"/>
            <a:cs typeface="Arial"/>
          </a:endParaRPr>
        </a:p>
      </xdr:txBody>
    </xdr:sp>
    <xdr:clientData/>
  </xdr:twoCellAnchor>
  <xdr:twoCellAnchor editAs="oneCell">
    <xdr:from>
      <xdr:col>12</xdr:col>
      <xdr:colOff>38100</xdr:colOff>
      <xdr:row>1</xdr:row>
      <xdr:rowOff>0</xdr:rowOff>
    </xdr:from>
    <xdr:to>
      <xdr:col>12</xdr:col>
      <xdr:colOff>228600</xdr:colOff>
      <xdr:row>2</xdr:row>
      <xdr:rowOff>76200</xdr:rowOff>
    </xdr:to>
    <xdr:sp macro="" textlink="">
      <xdr:nvSpPr>
        <xdr:cNvPr id="10" name="Text Box 3">
          <a:extLst>
            <a:ext uri="{FF2B5EF4-FFF2-40B4-BE49-F238E27FC236}">
              <a16:creationId xmlns:a16="http://schemas.microsoft.com/office/drawing/2014/main" id="{00000000-0008-0000-0D00-00000A000000}"/>
            </a:ext>
          </a:extLst>
        </xdr:cNvPr>
        <xdr:cNvSpPr txBox="1">
          <a:spLocks noChangeArrowheads="1"/>
        </xdr:cNvSpPr>
      </xdr:nvSpPr>
      <xdr:spPr bwMode="auto">
        <a:xfrm>
          <a:off x="4695825" y="171450"/>
          <a:ext cx="190500" cy="257175"/>
        </a:xfrm>
        <a:prstGeom prst="rect">
          <a:avLst/>
        </a:prstGeom>
        <a:noFill/>
        <a:ln w="9525">
          <a:noFill/>
          <a:miter lim="800000"/>
          <a:headEnd/>
          <a:tailEnd/>
        </a:ln>
      </xdr:spPr>
    </xdr:sp>
    <xdr:clientData/>
  </xdr:twoCellAnchor>
  <xdr:twoCellAnchor>
    <xdr:from>
      <xdr:col>12</xdr:col>
      <xdr:colOff>485775</xdr:colOff>
      <xdr:row>1</xdr:row>
      <xdr:rowOff>123825</xdr:rowOff>
    </xdr:from>
    <xdr:to>
      <xdr:col>12</xdr:col>
      <xdr:colOff>790575</xdr:colOff>
      <xdr:row>3</xdr:row>
      <xdr:rowOff>104775</xdr:rowOff>
    </xdr:to>
    <xdr:sp macro="" textlink="">
      <xdr:nvSpPr>
        <xdr:cNvPr id="11" name="Rectangle 4">
          <a:extLst>
            <a:ext uri="{FF2B5EF4-FFF2-40B4-BE49-F238E27FC236}">
              <a16:creationId xmlns:a16="http://schemas.microsoft.com/office/drawing/2014/main" id="{00000000-0008-0000-0D00-00000B000000}"/>
            </a:ext>
          </a:extLst>
        </xdr:cNvPr>
        <xdr:cNvSpPr>
          <a:spLocks noChangeArrowheads="1"/>
        </xdr:cNvSpPr>
      </xdr:nvSpPr>
      <xdr:spPr bwMode="auto">
        <a:xfrm>
          <a:off x="5143500" y="295275"/>
          <a:ext cx="238125" cy="314325"/>
        </a:xfrm>
        <a:prstGeom prst="rect">
          <a:avLst/>
        </a:prstGeom>
        <a:noFill/>
        <a:ln w="9525">
          <a:noFill/>
          <a:miter lim="800000"/>
          <a:headEnd/>
          <a:tailEnd/>
        </a:ln>
      </xdr:spPr>
    </xdr:sp>
    <xdr:clientData/>
  </xdr:twoCellAnchor>
  <xdr:twoCellAnchor editAs="oneCell">
    <xdr:from>
      <xdr:col>13</xdr:col>
      <xdr:colOff>38100</xdr:colOff>
      <xdr:row>1</xdr:row>
      <xdr:rowOff>0</xdr:rowOff>
    </xdr:from>
    <xdr:to>
      <xdr:col>13</xdr:col>
      <xdr:colOff>228600</xdr:colOff>
      <xdr:row>2</xdr:row>
      <xdr:rowOff>76200</xdr:rowOff>
    </xdr:to>
    <xdr:sp macro="" textlink="">
      <xdr:nvSpPr>
        <xdr:cNvPr id="12" name="Text Box 5">
          <a:extLst>
            <a:ext uri="{FF2B5EF4-FFF2-40B4-BE49-F238E27FC236}">
              <a16:creationId xmlns:a16="http://schemas.microsoft.com/office/drawing/2014/main" id="{00000000-0008-0000-0D00-00000C000000}"/>
            </a:ext>
          </a:extLst>
        </xdr:cNvPr>
        <xdr:cNvSpPr txBox="1">
          <a:spLocks noChangeArrowheads="1"/>
        </xdr:cNvSpPr>
      </xdr:nvSpPr>
      <xdr:spPr bwMode="auto">
        <a:xfrm>
          <a:off x="5419725" y="171450"/>
          <a:ext cx="190500" cy="257175"/>
        </a:xfrm>
        <a:prstGeom prst="rect">
          <a:avLst/>
        </a:prstGeom>
        <a:noFill/>
        <a:ln w="9525">
          <a:noFill/>
          <a:miter lim="800000"/>
          <a:headEnd/>
          <a:tailEnd/>
        </a:ln>
      </xdr:spPr>
    </xdr:sp>
    <xdr:clientData/>
  </xdr:twoCellAnchor>
  <xdr:twoCellAnchor>
    <xdr:from>
      <xdr:col>13</xdr:col>
      <xdr:colOff>485775</xdr:colOff>
      <xdr:row>1</xdr:row>
      <xdr:rowOff>123825</xdr:rowOff>
    </xdr:from>
    <xdr:to>
      <xdr:col>13</xdr:col>
      <xdr:colOff>790575</xdr:colOff>
      <xdr:row>3</xdr:row>
      <xdr:rowOff>104775</xdr:rowOff>
    </xdr:to>
    <xdr:sp macro="" textlink="">
      <xdr:nvSpPr>
        <xdr:cNvPr id="13" name="Rectangle 6">
          <a:extLst>
            <a:ext uri="{FF2B5EF4-FFF2-40B4-BE49-F238E27FC236}">
              <a16:creationId xmlns:a16="http://schemas.microsoft.com/office/drawing/2014/main" id="{00000000-0008-0000-0D00-00000D000000}"/>
            </a:ext>
          </a:extLst>
        </xdr:cNvPr>
        <xdr:cNvSpPr>
          <a:spLocks noChangeArrowheads="1"/>
        </xdr:cNvSpPr>
      </xdr:nvSpPr>
      <xdr:spPr bwMode="auto">
        <a:xfrm>
          <a:off x="5848350" y="295275"/>
          <a:ext cx="0" cy="314325"/>
        </a:xfrm>
        <a:prstGeom prst="rect">
          <a:avLst/>
        </a:prstGeom>
        <a:noFill/>
        <a:ln w="9525">
          <a:noFill/>
          <a:miter lim="800000"/>
          <a:headEnd/>
          <a:tailEnd/>
        </a:ln>
      </xdr:spPr>
    </xdr:sp>
    <xdr:clientData/>
  </xdr:twoCellAnchor>
  <xdr:twoCellAnchor editAs="oneCell">
    <xdr:from>
      <xdr:col>1</xdr:col>
      <xdr:colOff>57150</xdr:colOff>
      <xdr:row>13</xdr:row>
      <xdr:rowOff>76200</xdr:rowOff>
    </xdr:from>
    <xdr:to>
      <xdr:col>1</xdr:col>
      <xdr:colOff>247650</xdr:colOff>
      <xdr:row>14</xdr:row>
      <xdr:rowOff>152400</xdr:rowOff>
    </xdr:to>
    <xdr:sp macro="" textlink="">
      <xdr:nvSpPr>
        <xdr:cNvPr id="14" name="Text Box 9">
          <a:extLst>
            <a:ext uri="{FF2B5EF4-FFF2-40B4-BE49-F238E27FC236}">
              <a16:creationId xmlns:a16="http://schemas.microsoft.com/office/drawing/2014/main" id="{00000000-0008-0000-0D00-00000E000000}"/>
            </a:ext>
          </a:extLst>
        </xdr:cNvPr>
        <xdr:cNvSpPr txBox="1">
          <a:spLocks noChangeArrowheads="1"/>
        </xdr:cNvSpPr>
      </xdr:nvSpPr>
      <xdr:spPr bwMode="auto">
        <a:xfrm>
          <a:off x="276225" y="2286000"/>
          <a:ext cx="190500" cy="257175"/>
        </a:xfrm>
        <a:prstGeom prst="rect">
          <a:avLst/>
        </a:prstGeom>
        <a:noFill/>
        <a:ln w="9525">
          <a:noFill/>
          <a:miter lim="800000"/>
          <a:headEnd/>
          <a:tailEnd/>
        </a:ln>
      </xdr:spPr>
    </xdr:sp>
    <xdr:clientData/>
  </xdr:twoCellAnchor>
  <xdr:twoCellAnchor editAs="oneCell">
    <xdr:from>
      <xdr:col>1</xdr:col>
      <xdr:colOff>57150</xdr:colOff>
      <xdr:row>2</xdr:row>
      <xdr:rowOff>28575</xdr:rowOff>
    </xdr:from>
    <xdr:to>
      <xdr:col>3</xdr:col>
      <xdr:colOff>114300</xdr:colOff>
      <xdr:row>7</xdr:row>
      <xdr:rowOff>66675</xdr:rowOff>
    </xdr:to>
    <xdr:pic>
      <xdr:nvPicPr>
        <xdr:cNvPr id="15" name="Picture 2">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371475"/>
          <a:ext cx="1133475" cy="847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46</xdr:row>
      <xdr:rowOff>38100</xdr:rowOff>
    </xdr:from>
    <xdr:to>
      <xdr:col>8</xdr:col>
      <xdr:colOff>647700</xdr:colOff>
      <xdr:row>60</xdr:row>
      <xdr:rowOff>0</xdr:rowOff>
    </xdr:to>
    <xdr:sp macro="" textlink="">
      <xdr:nvSpPr>
        <xdr:cNvPr id="3076" name="Rectangle 4">
          <a:extLst>
            <a:ext uri="{FF2B5EF4-FFF2-40B4-BE49-F238E27FC236}">
              <a16:creationId xmlns:a16="http://schemas.microsoft.com/office/drawing/2014/main" id="{00000000-0008-0000-0200-0000040C0000}"/>
            </a:ext>
          </a:extLst>
        </xdr:cNvPr>
        <xdr:cNvSpPr>
          <a:spLocks noChangeArrowheads="1"/>
        </xdr:cNvSpPr>
      </xdr:nvSpPr>
      <xdr:spPr bwMode="auto">
        <a:xfrm>
          <a:off x="3933825" y="7486650"/>
          <a:ext cx="2809875" cy="2228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AR" sz="1000" b="0" i="0" strike="noStrike">
              <a:solidFill>
                <a:srgbClr val="000000"/>
              </a:solidFill>
              <a:latin typeface="Arial"/>
              <a:cs typeface="Arial"/>
            </a:rPr>
            <a:t>Visado Definitivo</a:t>
          </a:r>
        </a:p>
      </xdr:txBody>
    </xdr:sp>
    <xdr:clientData/>
  </xdr:twoCellAnchor>
  <xdr:twoCellAnchor>
    <xdr:from>
      <xdr:col>8</xdr:col>
      <xdr:colOff>638175</xdr:colOff>
      <xdr:row>46</xdr:row>
      <xdr:rowOff>28575</xdr:rowOff>
    </xdr:from>
    <xdr:to>
      <xdr:col>8</xdr:col>
      <xdr:colOff>638175</xdr:colOff>
      <xdr:row>60</xdr:row>
      <xdr:rowOff>0</xdr:rowOff>
    </xdr:to>
    <xdr:sp macro="" textlink="">
      <xdr:nvSpPr>
        <xdr:cNvPr id="31748" name="Line 5">
          <a:extLst>
            <a:ext uri="{FF2B5EF4-FFF2-40B4-BE49-F238E27FC236}">
              <a16:creationId xmlns:a16="http://schemas.microsoft.com/office/drawing/2014/main" id="{00000000-0008-0000-0200-0000047C0000}"/>
            </a:ext>
          </a:extLst>
        </xdr:cNvPr>
        <xdr:cNvSpPr>
          <a:spLocks noChangeShapeType="1"/>
        </xdr:cNvSpPr>
      </xdr:nvSpPr>
      <xdr:spPr bwMode="auto">
        <a:xfrm>
          <a:off x="6734175" y="7477125"/>
          <a:ext cx="0" cy="22383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123825</xdr:colOff>
      <xdr:row>44</xdr:row>
      <xdr:rowOff>142875</xdr:rowOff>
    </xdr:from>
    <xdr:to>
      <xdr:col>8</xdr:col>
      <xdr:colOff>647700</xdr:colOff>
      <xdr:row>44</xdr:row>
      <xdr:rowOff>142875</xdr:rowOff>
    </xdr:to>
    <xdr:sp macro="" textlink="">
      <xdr:nvSpPr>
        <xdr:cNvPr id="31749" name="Line 6">
          <a:extLst>
            <a:ext uri="{FF2B5EF4-FFF2-40B4-BE49-F238E27FC236}">
              <a16:creationId xmlns:a16="http://schemas.microsoft.com/office/drawing/2014/main" id="{00000000-0008-0000-0200-0000057C0000}"/>
            </a:ext>
          </a:extLst>
        </xdr:cNvPr>
        <xdr:cNvSpPr>
          <a:spLocks noChangeShapeType="1"/>
        </xdr:cNvSpPr>
      </xdr:nvSpPr>
      <xdr:spPr bwMode="auto">
        <a:xfrm flipH="1">
          <a:off x="3933825" y="7267575"/>
          <a:ext cx="28098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31</xdr:row>
      <xdr:rowOff>0</xdr:rowOff>
    </xdr:from>
    <xdr:to>
      <xdr:col>8</xdr:col>
      <xdr:colOff>638175</xdr:colOff>
      <xdr:row>44</xdr:row>
      <xdr:rowOff>123825</xdr:rowOff>
    </xdr:to>
    <xdr:sp macro="" textlink="">
      <xdr:nvSpPr>
        <xdr:cNvPr id="3080" name="Rectangle 8">
          <a:extLst>
            <a:ext uri="{FF2B5EF4-FFF2-40B4-BE49-F238E27FC236}">
              <a16:creationId xmlns:a16="http://schemas.microsoft.com/office/drawing/2014/main" id="{00000000-0008-0000-0200-0000080C0000}"/>
            </a:ext>
          </a:extLst>
        </xdr:cNvPr>
        <xdr:cNvSpPr>
          <a:spLocks noChangeArrowheads="1"/>
        </xdr:cNvSpPr>
      </xdr:nvSpPr>
      <xdr:spPr bwMode="auto">
        <a:xfrm>
          <a:off x="3924300" y="5019675"/>
          <a:ext cx="2809875" cy="2228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AR" sz="1000" b="0" i="0" strike="noStrike">
              <a:solidFill>
                <a:srgbClr val="000000"/>
              </a:solidFill>
              <a:latin typeface="Arial"/>
              <a:cs typeface="Arial"/>
            </a:rPr>
            <a:t>Visado Provisorio</a:t>
          </a:r>
        </a:p>
        <a:p>
          <a:pPr algn="l" rtl="0">
            <a:defRPr sz="1000"/>
          </a:pPr>
          <a:endParaRPr lang="es-AR" sz="1000" b="0" i="0" strike="noStrike">
            <a:solidFill>
              <a:srgbClr val="000000"/>
            </a:solidFill>
            <a:latin typeface="Arial"/>
            <a:cs typeface="Arial"/>
          </a:endParaRPr>
        </a:p>
      </xdr:txBody>
    </xdr:sp>
    <xdr:clientData/>
  </xdr:twoCellAnchor>
  <xdr:twoCellAnchor>
    <xdr:from>
      <xdr:col>8</xdr:col>
      <xdr:colOff>638175</xdr:colOff>
      <xdr:row>31</xdr:row>
      <xdr:rowOff>28575</xdr:rowOff>
    </xdr:from>
    <xdr:to>
      <xdr:col>8</xdr:col>
      <xdr:colOff>638175</xdr:colOff>
      <xdr:row>45</xdr:row>
      <xdr:rowOff>0</xdr:rowOff>
    </xdr:to>
    <xdr:sp macro="" textlink="">
      <xdr:nvSpPr>
        <xdr:cNvPr id="31751" name="Line 9">
          <a:extLst>
            <a:ext uri="{FF2B5EF4-FFF2-40B4-BE49-F238E27FC236}">
              <a16:creationId xmlns:a16="http://schemas.microsoft.com/office/drawing/2014/main" id="{00000000-0008-0000-0200-0000077C0000}"/>
            </a:ext>
          </a:extLst>
        </xdr:cNvPr>
        <xdr:cNvSpPr>
          <a:spLocks noChangeShapeType="1"/>
        </xdr:cNvSpPr>
      </xdr:nvSpPr>
      <xdr:spPr bwMode="auto">
        <a:xfrm>
          <a:off x="6734175" y="5048250"/>
          <a:ext cx="0" cy="22383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60</xdr:row>
      <xdr:rowOff>0</xdr:rowOff>
    </xdr:from>
    <xdr:to>
      <xdr:col>8</xdr:col>
      <xdr:colOff>647700</xdr:colOff>
      <xdr:row>60</xdr:row>
      <xdr:rowOff>0</xdr:rowOff>
    </xdr:to>
    <xdr:sp macro="" textlink="">
      <xdr:nvSpPr>
        <xdr:cNvPr id="31752" name="Line 11">
          <a:extLst>
            <a:ext uri="{FF2B5EF4-FFF2-40B4-BE49-F238E27FC236}">
              <a16:creationId xmlns:a16="http://schemas.microsoft.com/office/drawing/2014/main" id="{00000000-0008-0000-0200-0000087C0000}"/>
            </a:ext>
          </a:extLst>
        </xdr:cNvPr>
        <xdr:cNvSpPr>
          <a:spLocks noChangeShapeType="1"/>
        </xdr:cNvSpPr>
      </xdr:nvSpPr>
      <xdr:spPr bwMode="auto">
        <a:xfrm>
          <a:off x="3924300" y="9715500"/>
          <a:ext cx="28194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733425</xdr:colOff>
      <xdr:row>59</xdr:row>
      <xdr:rowOff>104775</xdr:rowOff>
    </xdr:from>
    <xdr:to>
      <xdr:col>3</xdr:col>
      <xdr:colOff>276225</xdr:colOff>
      <xdr:row>59</xdr:row>
      <xdr:rowOff>104775</xdr:rowOff>
    </xdr:to>
    <xdr:sp macro="" textlink="">
      <xdr:nvSpPr>
        <xdr:cNvPr id="31753" name="Line 12">
          <a:extLst>
            <a:ext uri="{FF2B5EF4-FFF2-40B4-BE49-F238E27FC236}">
              <a16:creationId xmlns:a16="http://schemas.microsoft.com/office/drawing/2014/main" id="{00000000-0008-0000-0200-0000097C0000}"/>
            </a:ext>
          </a:extLst>
        </xdr:cNvPr>
        <xdr:cNvSpPr>
          <a:spLocks noChangeShapeType="1"/>
        </xdr:cNvSpPr>
      </xdr:nvSpPr>
      <xdr:spPr bwMode="auto">
        <a:xfrm>
          <a:off x="1495425" y="9658350"/>
          <a:ext cx="1066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428625</xdr:colOff>
      <xdr:row>60</xdr:row>
      <xdr:rowOff>85725</xdr:rowOff>
    </xdr:from>
    <xdr:to>
      <xdr:col>3</xdr:col>
      <xdr:colOff>657225</xdr:colOff>
      <xdr:row>60</xdr:row>
      <xdr:rowOff>85725</xdr:rowOff>
    </xdr:to>
    <xdr:sp macro="" textlink="">
      <xdr:nvSpPr>
        <xdr:cNvPr id="31754" name="Line 13">
          <a:extLst>
            <a:ext uri="{FF2B5EF4-FFF2-40B4-BE49-F238E27FC236}">
              <a16:creationId xmlns:a16="http://schemas.microsoft.com/office/drawing/2014/main" id="{00000000-0008-0000-0200-00000A7C0000}"/>
            </a:ext>
          </a:extLst>
        </xdr:cNvPr>
        <xdr:cNvSpPr>
          <a:spLocks noChangeShapeType="1"/>
        </xdr:cNvSpPr>
      </xdr:nvSpPr>
      <xdr:spPr bwMode="auto">
        <a:xfrm>
          <a:off x="1952625" y="9801225"/>
          <a:ext cx="990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63</xdr:row>
      <xdr:rowOff>85725</xdr:rowOff>
    </xdr:from>
    <xdr:to>
      <xdr:col>3</xdr:col>
      <xdr:colOff>657225</xdr:colOff>
      <xdr:row>63</xdr:row>
      <xdr:rowOff>85725</xdr:rowOff>
    </xdr:to>
    <xdr:sp macro="" textlink="">
      <xdr:nvSpPr>
        <xdr:cNvPr id="31755" name="Line 14">
          <a:extLst>
            <a:ext uri="{FF2B5EF4-FFF2-40B4-BE49-F238E27FC236}">
              <a16:creationId xmlns:a16="http://schemas.microsoft.com/office/drawing/2014/main" id="{00000000-0008-0000-0200-00000B7C0000}"/>
            </a:ext>
          </a:extLst>
        </xdr:cNvPr>
        <xdr:cNvSpPr>
          <a:spLocks noChangeShapeType="1"/>
        </xdr:cNvSpPr>
      </xdr:nvSpPr>
      <xdr:spPr bwMode="auto">
        <a:xfrm>
          <a:off x="2295525" y="10287000"/>
          <a:ext cx="647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66</xdr:row>
      <xdr:rowOff>104775</xdr:rowOff>
    </xdr:from>
    <xdr:to>
      <xdr:col>3</xdr:col>
      <xdr:colOff>638175</xdr:colOff>
      <xdr:row>66</xdr:row>
      <xdr:rowOff>104775</xdr:rowOff>
    </xdr:to>
    <xdr:sp macro="" textlink="">
      <xdr:nvSpPr>
        <xdr:cNvPr id="31756" name="Line 17">
          <a:extLst>
            <a:ext uri="{FF2B5EF4-FFF2-40B4-BE49-F238E27FC236}">
              <a16:creationId xmlns:a16="http://schemas.microsoft.com/office/drawing/2014/main" id="{00000000-0008-0000-0200-00000C7C0000}"/>
            </a:ext>
          </a:extLst>
        </xdr:cNvPr>
        <xdr:cNvSpPr>
          <a:spLocks noChangeShapeType="1"/>
        </xdr:cNvSpPr>
      </xdr:nvSpPr>
      <xdr:spPr bwMode="auto">
        <a:xfrm>
          <a:off x="2019300" y="10791825"/>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64</xdr:row>
      <xdr:rowOff>104775</xdr:rowOff>
    </xdr:from>
    <xdr:to>
      <xdr:col>3</xdr:col>
      <xdr:colOff>685800</xdr:colOff>
      <xdr:row>64</xdr:row>
      <xdr:rowOff>104775</xdr:rowOff>
    </xdr:to>
    <xdr:sp macro="" textlink="">
      <xdr:nvSpPr>
        <xdr:cNvPr id="31757" name="Line 19">
          <a:extLst>
            <a:ext uri="{FF2B5EF4-FFF2-40B4-BE49-F238E27FC236}">
              <a16:creationId xmlns:a16="http://schemas.microsoft.com/office/drawing/2014/main" id="{00000000-0008-0000-0200-00000D7C0000}"/>
            </a:ext>
          </a:extLst>
        </xdr:cNvPr>
        <xdr:cNvSpPr>
          <a:spLocks noChangeShapeType="1"/>
        </xdr:cNvSpPr>
      </xdr:nvSpPr>
      <xdr:spPr bwMode="auto">
        <a:xfrm>
          <a:off x="2390775" y="10467975"/>
          <a:ext cx="5810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28</xdr:row>
      <xdr:rowOff>95250</xdr:rowOff>
    </xdr:from>
    <xdr:to>
      <xdr:col>5</xdr:col>
      <xdr:colOff>704850</xdr:colOff>
      <xdr:row>28</xdr:row>
      <xdr:rowOff>95250</xdr:rowOff>
    </xdr:to>
    <xdr:sp macro="" textlink="">
      <xdr:nvSpPr>
        <xdr:cNvPr id="31758" name="Line 20">
          <a:extLst>
            <a:ext uri="{FF2B5EF4-FFF2-40B4-BE49-F238E27FC236}">
              <a16:creationId xmlns:a16="http://schemas.microsoft.com/office/drawing/2014/main" id="{00000000-0008-0000-0200-00000E7C0000}"/>
            </a:ext>
          </a:extLst>
        </xdr:cNvPr>
        <xdr:cNvSpPr>
          <a:spLocks noChangeShapeType="1"/>
        </xdr:cNvSpPr>
      </xdr:nvSpPr>
      <xdr:spPr bwMode="auto">
        <a:xfrm>
          <a:off x="3867150" y="46291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18</xdr:row>
      <xdr:rowOff>85725</xdr:rowOff>
    </xdr:from>
    <xdr:to>
      <xdr:col>5</xdr:col>
      <xdr:colOff>723900</xdr:colOff>
      <xdr:row>18</xdr:row>
      <xdr:rowOff>85725</xdr:rowOff>
    </xdr:to>
    <xdr:sp macro="" textlink="">
      <xdr:nvSpPr>
        <xdr:cNvPr id="31759" name="Line 21">
          <a:extLst>
            <a:ext uri="{FF2B5EF4-FFF2-40B4-BE49-F238E27FC236}">
              <a16:creationId xmlns:a16="http://schemas.microsoft.com/office/drawing/2014/main" id="{00000000-0008-0000-0200-00000F7C0000}"/>
            </a:ext>
          </a:extLst>
        </xdr:cNvPr>
        <xdr:cNvSpPr>
          <a:spLocks noChangeShapeType="1"/>
        </xdr:cNvSpPr>
      </xdr:nvSpPr>
      <xdr:spPr bwMode="auto">
        <a:xfrm>
          <a:off x="3886200" y="3000375"/>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8</xdr:col>
      <xdr:colOff>314325</xdr:colOff>
      <xdr:row>5</xdr:row>
      <xdr:rowOff>9525</xdr:rowOff>
    </xdr:to>
    <xdr:grpSp>
      <xdr:nvGrpSpPr>
        <xdr:cNvPr id="31760" name="Group 28">
          <a:extLst>
            <a:ext uri="{FF2B5EF4-FFF2-40B4-BE49-F238E27FC236}">
              <a16:creationId xmlns:a16="http://schemas.microsoft.com/office/drawing/2014/main" id="{00000000-0008-0000-0200-0000107C0000}"/>
            </a:ext>
          </a:extLst>
        </xdr:cNvPr>
        <xdr:cNvGrpSpPr>
          <a:grpSpLocks/>
        </xdr:cNvGrpSpPr>
      </xdr:nvGrpSpPr>
      <xdr:grpSpPr bwMode="auto">
        <a:xfrm>
          <a:off x="152400" y="200025"/>
          <a:ext cx="6257925" cy="619125"/>
          <a:chOff x="16" y="4"/>
          <a:chExt cx="657" cy="65"/>
        </a:xfrm>
      </xdr:grpSpPr>
      <xdr:pic>
        <xdr:nvPicPr>
          <xdr:cNvPr id="31761" name="Imagen 2">
            <a:extLst>
              <a:ext uri="{FF2B5EF4-FFF2-40B4-BE49-F238E27FC236}">
                <a16:creationId xmlns:a16="http://schemas.microsoft.com/office/drawing/2014/main" id="{00000000-0008-0000-0200-0000117C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02" name="1 Cuadro de texto">
            <a:extLst>
              <a:ext uri="{FF2B5EF4-FFF2-40B4-BE49-F238E27FC236}">
                <a16:creationId xmlns:a16="http://schemas.microsoft.com/office/drawing/2014/main" id="{00000000-0008-0000-0200-00001E0C0000}"/>
              </a:ext>
            </a:extLst>
          </xdr:cNvPr>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266700</xdr:colOff>
      <xdr:row>44</xdr:row>
      <xdr:rowOff>152400</xdr:rowOff>
    </xdr:from>
    <xdr:to>
      <xdr:col>27</xdr:col>
      <xdr:colOff>266700</xdr:colOff>
      <xdr:row>54</xdr:row>
      <xdr:rowOff>152400</xdr:rowOff>
    </xdr:to>
    <xdr:sp macro="" textlink="">
      <xdr:nvSpPr>
        <xdr:cNvPr id="9665" name="Line 2">
          <a:extLst>
            <a:ext uri="{FF2B5EF4-FFF2-40B4-BE49-F238E27FC236}">
              <a16:creationId xmlns:a16="http://schemas.microsoft.com/office/drawing/2014/main" id="{00000000-0008-0000-0300-0000C1250000}"/>
            </a:ext>
          </a:extLst>
        </xdr:cNvPr>
        <xdr:cNvSpPr>
          <a:spLocks noChangeShapeType="1"/>
        </xdr:cNvSpPr>
      </xdr:nvSpPr>
      <xdr:spPr bwMode="auto">
        <a:xfrm>
          <a:off x="5867400" y="7315200"/>
          <a:ext cx="0" cy="16192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55</xdr:row>
      <xdr:rowOff>0</xdr:rowOff>
    </xdr:from>
    <xdr:to>
      <xdr:col>27</xdr:col>
      <xdr:colOff>276225</xdr:colOff>
      <xdr:row>55</xdr:row>
      <xdr:rowOff>0</xdr:rowOff>
    </xdr:to>
    <xdr:sp macro="" textlink="">
      <xdr:nvSpPr>
        <xdr:cNvPr id="9666" name="Line 3">
          <a:extLst>
            <a:ext uri="{FF2B5EF4-FFF2-40B4-BE49-F238E27FC236}">
              <a16:creationId xmlns:a16="http://schemas.microsoft.com/office/drawing/2014/main" id="{00000000-0008-0000-0300-0000C2250000}"/>
            </a:ext>
          </a:extLst>
        </xdr:cNvPr>
        <xdr:cNvSpPr>
          <a:spLocks noChangeShapeType="1"/>
        </xdr:cNvSpPr>
      </xdr:nvSpPr>
      <xdr:spPr bwMode="auto">
        <a:xfrm flipV="1">
          <a:off x="3657600" y="8943975"/>
          <a:ext cx="22193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266700</xdr:colOff>
      <xdr:row>29</xdr:row>
      <xdr:rowOff>9525</xdr:rowOff>
    </xdr:from>
    <xdr:to>
      <xdr:col>27</xdr:col>
      <xdr:colOff>266700</xdr:colOff>
      <xdr:row>39</xdr:row>
      <xdr:rowOff>9525</xdr:rowOff>
    </xdr:to>
    <xdr:sp macro="" textlink="">
      <xdr:nvSpPr>
        <xdr:cNvPr id="9667" name="Line 4">
          <a:extLst>
            <a:ext uri="{FF2B5EF4-FFF2-40B4-BE49-F238E27FC236}">
              <a16:creationId xmlns:a16="http://schemas.microsoft.com/office/drawing/2014/main" id="{00000000-0008-0000-0300-0000C3250000}"/>
            </a:ext>
          </a:extLst>
        </xdr:cNvPr>
        <xdr:cNvSpPr>
          <a:spLocks noChangeShapeType="1"/>
        </xdr:cNvSpPr>
      </xdr:nvSpPr>
      <xdr:spPr bwMode="auto">
        <a:xfrm>
          <a:off x="5867400" y="4743450"/>
          <a:ext cx="0" cy="16192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39</xdr:row>
      <xdr:rowOff>0</xdr:rowOff>
    </xdr:from>
    <xdr:to>
      <xdr:col>28</xdr:col>
      <xdr:colOff>9525</xdr:colOff>
      <xdr:row>39</xdr:row>
      <xdr:rowOff>0</xdr:rowOff>
    </xdr:to>
    <xdr:sp macro="" textlink="">
      <xdr:nvSpPr>
        <xdr:cNvPr id="9668" name="Line 7">
          <a:extLst>
            <a:ext uri="{FF2B5EF4-FFF2-40B4-BE49-F238E27FC236}">
              <a16:creationId xmlns:a16="http://schemas.microsoft.com/office/drawing/2014/main" id="{00000000-0008-0000-0300-0000C4250000}"/>
            </a:ext>
          </a:extLst>
        </xdr:cNvPr>
        <xdr:cNvSpPr>
          <a:spLocks noChangeShapeType="1"/>
        </xdr:cNvSpPr>
      </xdr:nvSpPr>
      <xdr:spPr bwMode="auto">
        <a:xfrm>
          <a:off x="3657600" y="6353175"/>
          <a:ext cx="22288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38100</xdr:rowOff>
    </xdr:from>
    <xdr:to>
      <xdr:col>29</xdr:col>
      <xdr:colOff>161925</xdr:colOff>
      <xdr:row>3</xdr:row>
      <xdr:rowOff>133350</xdr:rowOff>
    </xdr:to>
    <xdr:grpSp>
      <xdr:nvGrpSpPr>
        <xdr:cNvPr id="9669" name="Group 13">
          <a:extLst>
            <a:ext uri="{FF2B5EF4-FFF2-40B4-BE49-F238E27FC236}">
              <a16:creationId xmlns:a16="http://schemas.microsoft.com/office/drawing/2014/main" id="{00000000-0008-0000-0300-0000C5250000}"/>
            </a:ext>
          </a:extLst>
        </xdr:cNvPr>
        <xdr:cNvGrpSpPr>
          <a:grpSpLocks/>
        </xdr:cNvGrpSpPr>
      </xdr:nvGrpSpPr>
      <xdr:grpSpPr bwMode="auto">
        <a:xfrm>
          <a:off x="9525" y="38100"/>
          <a:ext cx="6257925" cy="619125"/>
          <a:chOff x="16" y="4"/>
          <a:chExt cx="657" cy="65"/>
        </a:xfrm>
      </xdr:grpSpPr>
      <xdr:pic>
        <xdr:nvPicPr>
          <xdr:cNvPr id="9670" name="Imagen 2">
            <a:extLst>
              <a:ext uri="{FF2B5EF4-FFF2-40B4-BE49-F238E27FC236}">
                <a16:creationId xmlns:a16="http://schemas.microsoft.com/office/drawing/2014/main" id="{00000000-0008-0000-0300-0000C625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39" name="1 Cuadro de texto">
            <a:extLst>
              <a:ext uri="{FF2B5EF4-FFF2-40B4-BE49-F238E27FC236}">
                <a16:creationId xmlns:a16="http://schemas.microsoft.com/office/drawing/2014/main" id="{00000000-0008-0000-0300-00000F040000}"/>
              </a:ext>
            </a:extLst>
          </xdr:cNvPr>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238125</xdr:colOff>
      <xdr:row>16</xdr:row>
      <xdr:rowOff>152400</xdr:rowOff>
    </xdr:from>
    <xdr:to>
      <xdr:col>26</xdr:col>
      <xdr:colOff>238125</xdr:colOff>
      <xdr:row>29</xdr:row>
      <xdr:rowOff>19050</xdr:rowOff>
    </xdr:to>
    <xdr:sp macro="" textlink="">
      <xdr:nvSpPr>
        <xdr:cNvPr id="10689" name="Line 2">
          <a:extLst>
            <a:ext uri="{FF2B5EF4-FFF2-40B4-BE49-F238E27FC236}">
              <a16:creationId xmlns:a16="http://schemas.microsoft.com/office/drawing/2014/main" id="{00000000-0008-0000-0400-0000C1290000}"/>
            </a:ext>
          </a:extLst>
        </xdr:cNvPr>
        <xdr:cNvSpPr>
          <a:spLocks noChangeShapeType="1"/>
        </xdr:cNvSpPr>
      </xdr:nvSpPr>
      <xdr:spPr bwMode="auto">
        <a:xfrm flipH="1">
          <a:off x="5610225" y="2781300"/>
          <a:ext cx="0" cy="19716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29</xdr:row>
      <xdr:rowOff>0</xdr:rowOff>
    </xdr:from>
    <xdr:to>
      <xdr:col>27</xdr:col>
      <xdr:colOff>19050</xdr:colOff>
      <xdr:row>29</xdr:row>
      <xdr:rowOff>0</xdr:rowOff>
    </xdr:to>
    <xdr:sp macro="" textlink="">
      <xdr:nvSpPr>
        <xdr:cNvPr id="10690" name="Line 3">
          <a:extLst>
            <a:ext uri="{FF2B5EF4-FFF2-40B4-BE49-F238E27FC236}">
              <a16:creationId xmlns:a16="http://schemas.microsoft.com/office/drawing/2014/main" id="{00000000-0008-0000-0400-0000C2290000}"/>
            </a:ext>
          </a:extLst>
        </xdr:cNvPr>
        <xdr:cNvSpPr>
          <a:spLocks noChangeShapeType="1"/>
        </xdr:cNvSpPr>
      </xdr:nvSpPr>
      <xdr:spPr bwMode="auto">
        <a:xfrm>
          <a:off x="3314700" y="4733925"/>
          <a:ext cx="23145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9525</xdr:rowOff>
    </xdr:from>
    <xdr:to>
      <xdr:col>26</xdr:col>
      <xdr:colOff>238125</xdr:colOff>
      <xdr:row>53</xdr:row>
      <xdr:rowOff>28575</xdr:rowOff>
    </xdr:to>
    <xdr:sp macro="" textlink="">
      <xdr:nvSpPr>
        <xdr:cNvPr id="10691" name="Line 5">
          <a:extLst>
            <a:ext uri="{FF2B5EF4-FFF2-40B4-BE49-F238E27FC236}">
              <a16:creationId xmlns:a16="http://schemas.microsoft.com/office/drawing/2014/main" id="{00000000-0008-0000-0400-0000C3290000}"/>
            </a:ext>
          </a:extLst>
        </xdr:cNvPr>
        <xdr:cNvSpPr>
          <a:spLocks noChangeShapeType="1"/>
        </xdr:cNvSpPr>
      </xdr:nvSpPr>
      <xdr:spPr bwMode="auto">
        <a:xfrm flipV="1">
          <a:off x="3333750" y="8629650"/>
          <a:ext cx="2276475" cy="190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238125</xdr:colOff>
      <xdr:row>40</xdr:row>
      <xdr:rowOff>152400</xdr:rowOff>
    </xdr:from>
    <xdr:to>
      <xdr:col>26</xdr:col>
      <xdr:colOff>238125</xdr:colOff>
      <xdr:row>53</xdr:row>
      <xdr:rowOff>19050</xdr:rowOff>
    </xdr:to>
    <xdr:sp macro="" textlink="">
      <xdr:nvSpPr>
        <xdr:cNvPr id="10692" name="Line 6">
          <a:extLst>
            <a:ext uri="{FF2B5EF4-FFF2-40B4-BE49-F238E27FC236}">
              <a16:creationId xmlns:a16="http://schemas.microsoft.com/office/drawing/2014/main" id="{00000000-0008-0000-0400-0000C4290000}"/>
            </a:ext>
          </a:extLst>
        </xdr:cNvPr>
        <xdr:cNvSpPr>
          <a:spLocks noChangeShapeType="1"/>
        </xdr:cNvSpPr>
      </xdr:nvSpPr>
      <xdr:spPr bwMode="auto">
        <a:xfrm flipH="1">
          <a:off x="5610225" y="6667500"/>
          <a:ext cx="0" cy="19716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0</xdr:row>
      <xdr:rowOff>95250</xdr:rowOff>
    </xdr:from>
    <xdr:to>
      <xdr:col>29</xdr:col>
      <xdr:colOff>76200</xdr:colOff>
      <xdr:row>4</xdr:row>
      <xdr:rowOff>28575</xdr:rowOff>
    </xdr:to>
    <xdr:grpSp>
      <xdr:nvGrpSpPr>
        <xdr:cNvPr id="10693" name="Group 11">
          <a:extLst>
            <a:ext uri="{FF2B5EF4-FFF2-40B4-BE49-F238E27FC236}">
              <a16:creationId xmlns:a16="http://schemas.microsoft.com/office/drawing/2014/main" id="{00000000-0008-0000-0400-0000C5290000}"/>
            </a:ext>
          </a:extLst>
        </xdr:cNvPr>
        <xdr:cNvGrpSpPr>
          <a:grpSpLocks/>
        </xdr:cNvGrpSpPr>
      </xdr:nvGrpSpPr>
      <xdr:grpSpPr bwMode="auto">
        <a:xfrm>
          <a:off x="114300" y="95250"/>
          <a:ext cx="6257925" cy="619125"/>
          <a:chOff x="16" y="4"/>
          <a:chExt cx="657" cy="65"/>
        </a:xfrm>
      </xdr:grpSpPr>
      <xdr:pic>
        <xdr:nvPicPr>
          <xdr:cNvPr id="10694" name="Imagen 2">
            <a:extLst>
              <a:ext uri="{FF2B5EF4-FFF2-40B4-BE49-F238E27FC236}">
                <a16:creationId xmlns:a16="http://schemas.microsoft.com/office/drawing/2014/main" id="{00000000-0008-0000-0400-0000C629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 name="1 Cuadro de texto">
            <a:extLst>
              <a:ext uri="{FF2B5EF4-FFF2-40B4-BE49-F238E27FC236}">
                <a16:creationId xmlns:a16="http://schemas.microsoft.com/office/drawing/2014/main" id="{00000000-0008-0000-0400-00000D080000}"/>
              </a:ext>
            </a:extLst>
          </xdr:cNvPr>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838200</xdr:colOff>
      <xdr:row>25</xdr:row>
      <xdr:rowOff>0</xdr:rowOff>
    </xdr:from>
    <xdr:to>
      <xdr:col>0</xdr:col>
      <xdr:colOff>2933700</xdr:colOff>
      <xdr:row>25</xdr:row>
      <xdr:rowOff>0</xdr:rowOff>
    </xdr:to>
    <xdr:sp macro="" textlink="">
      <xdr:nvSpPr>
        <xdr:cNvPr id="17729" name="Line 1">
          <a:extLst>
            <a:ext uri="{FF2B5EF4-FFF2-40B4-BE49-F238E27FC236}">
              <a16:creationId xmlns:a16="http://schemas.microsoft.com/office/drawing/2014/main" id="{00000000-0008-0000-0500-000041450000}"/>
            </a:ext>
          </a:extLst>
        </xdr:cNvPr>
        <xdr:cNvSpPr>
          <a:spLocks noChangeShapeType="1"/>
        </xdr:cNvSpPr>
      </xdr:nvSpPr>
      <xdr:spPr bwMode="auto">
        <a:xfrm>
          <a:off x="838200" y="10582275"/>
          <a:ext cx="2095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3257550</xdr:colOff>
      <xdr:row>25</xdr:row>
      <xdr:rowOff>0</xdr:rowOff>
    </xdr:from>
    <xdr:to>
      <xdr:col>0</xdr:col>
      <xdr:colOff>5181600</xdr:colOff>
      <xdr:row>25</xdr:row>
      <xdr:rowOff>0</xdr:rowOff>
    </xdr:to>
    <xdr:sp macro="" textlink="">
      <xdr:nvSpPr>
        <xdr:cNvPr id="17730" name="Line 2">
          <a:extLst>
            <a:ext uri="{FF2B5EF4-FFF2-40B4-BE49-F238E27FC236}">
              <a16:creationId xmlns:a16="http://schemas.microsoft.com/office/drawing/2014/main" id="{00000000-0008-0000-0500-000042450000}"/>
            </a:ext>
          </a:extLst>
        </xdr:cNvPr>
        <xdr:cNvSpPr>
          <a:spLocks noChangeShapeType="1"/>
        </xdr:cNvSpPr>
      </xdr:nvSpPr>
      <xdr:spPr bwMode="auto">
        <a:xfrm>
          <a:off x="3257550" y="10582275"/>
          <a:ext cx="1924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1</xdr:col>
      <xdr:colOff>200025</xdr:colOff>
      <xdr:row>4</xdr:row>
      <xdr:rowOff>133350</xdr:rowOff>
    </xdr:to>
    <xdr:grpSp>
      <xdr:nvGrpSpPr>
        <xdr:cNvPr id="17731" name="Group 12">
          <a:extLst>
            <a:ext uri="{FF2B5EF4-FFF2-40B4-BE49-F238E27FC236}">
              <a16:creationId xmlns:a16="http://schemas.microsoft.com/office/drawing/2014/main" id="{00000000-0008-0000-0500-000043450000}"/>
            </a:ext>
          </a:extLst>
        </xdr:cNvPr>
        <xdr:cNvGrpSpPr>
          <a:grpSpLocks/>
        </xdr:cNvGrpSpPr>
      </xdr:nvGrpSpPr>
      <xdr:grpSpPr bwMode="auto">
        <a:xfrm>
          <a:off x="152400" y="200025"/>
          <a:ext cx="6257925" cy="609600"/>
          <a:chOff x="16" y="4"/>
          <a:chExt cx="657" cy="65"/>
        </a:xfrm>
      </xdr:grpSpPr>
      <xdr:pic>
        <xdr:nvPicPr>
          <xdr:cNvPr id="17732" name="Imagen 2">
            <a:extLst>
              <a:ext uri="{FF2B5EF4-FFF2-40B4-BE49-F238E27FC236}">
                <a16:creationId xmlns:a16="http://schemas.microsoft.com/office/drawing/2014/main" id="{00000000-0008-0000-0500-00004445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254" name="1 Cuadro de texto">
            <a:extLst>
              <a:ext uri="{FF2B5EF4-FFF2-40B4-BE49-F238E27FC236}">
                <a16:creationId xmlns:a16="http://schemas.microsoft.com/office/drawing/2014/main" id="{00000000-0008-0000-0500-00000E280000}"/>
              </a:ext>
            </a:extLst>
          </xdr:cNvPr>
          <xdr:cNvSpPr txBox="1">
            <a:spLocks noChangeArrowheads="1"/>
          </xdr:cNvSpPr>
        </xdr:nvSpPr>
        <xdr:spPr bwMode="auto">
          <a:xfrm>
            <a:off x="110" y="18"/>
            <a:ext cx="563" cy="18"/>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53</xdr:row>
      <xdr:rowOff>0</xdr:rowOff>
    </xdr:from>
    <xdr:to>
      <xdr:col>27</xdr:col>
      <xdr:colOff>0</xdr:colOff>
      <xdr:row>53</xdr:row>
      <xdr:rowOff>0</xdr:rowOff>
    </xdr:to>
    <xdr:sp macro="" textlink="">
      <xdr:nvSpPr>
        <xdr:cNvPr id="14785" name="Line 1">
          <a:extLst>
            <a:ext uri="{FF2B5EF4-FFF2-40B4-BE49-F238E27FC236}">
              <a16:creationId xmlns:a16="http://schemas.microsoft.com/office/drawing/2014/main" id="{00000000-0008-0000-0700-0000C1390000}"/>
            </a:ext>
          </a:extLst>
        </xdr:cNvPr>
        <xdr:cNvSpPr>
          <a:spLocks noChangeShapeType="1"/>
        </xdr:cNvSpPr>
      </xdr:nvSpPr>
      <xdr:spPr bwMode="auto">
        <a:xfrm>
          <a:off x="3381375" y="8620125"/>
          <a:ext cx="21812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41</xdr:row>
      <xdr:rowOff>0</xdr:rowOff>
    </xdr:from>
    <xdr:to>
      <xdr:col>27</xdr:col>
      <xdr:colOff>0</xdr:colOff>
      <xdr:row>53</xdr:row>
      <xdr:rowOff>0</xdr:rowOff>
    </xdr:to>
    <xdr:sp macro="" textlink="">
      <xdr:nvSpPr>
        <xdr:cNvPr id="14786" name="Line 2">
          <a:extLst>
            <a:ext uri="{FF2B5EF4-FFF2-40B4-BE49-F238E27FC236}">
              <a16:creationId xmlns:a16="http://schemas.microsoft.com/office/drawing/2014/main" id="{00000000-0008-0000-0700-0000C2390000}"/>
            </a:ext>
          </a:extLst>
        </xdr:cNvPr>
        <xdr:cNvSpPr>
          <a:spLocks noChangeShapeType="1"/>
        </xdr:cNvSpPr>
      </xdr:nvSpPr>
      <xdr:spPr bwMode="auto">
        <a:xfrm>
          <a:off x="5562600" y="6677025"/>
          <a:ext cx="0" cy="19431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29</xdr:row>
      <xdr:rowOff>0</xdr:rowOff>
    </xdr:from>
    <xdr:to>
      <xdr:col>26</xdr:col>
      <xdr:colOff>161925</xdr:colOff>
      <xdr:row>29</xdr:row>
      <xdr:rowOff>0</xdr:rowOff>
    </xdr:to>
    <xdr:sp macro="" textlink="">
      <xdr:nvSpPr>
        <xdr:cNvPr id="14787" name="Line 3">
          <a:extLst>
            <a:ext uri="{FF2B5EF4-FFF2-40B4-BE49-F238E27FC236}">
              <a16:creationId xmlns:a16="http://schemas.microsoft.com/office/drawing/2014/main" id="{00000000-0008-0000-0700-0000C3390000}"/>
            </a:ext>
          </a:extLst>
        </xdr:cNvPr>
        <xdr:cNvSpPr>
          <a:spLocks noChangeShapeType="1"/>
        </xdr:cNvSpPr>
      </xdr:nvSpPr>
      <xdr:spPr bwMode="auto">
        <a:xfrm>
          <a:off x="3381375" y="4733925"/>
          <a:ext cx="2171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17</xdr:row>
      <xdr:rowOff>0</xdr:rowOff>
    </xdr:from>
    <xdr:to>
      <xdr:col>27</xdr:col>
      <xdr:colOff>0</xdr:colOff>
      <xdr:row>29</xdr:row>
      <xdr:rowOff>0</xdr:rowOff>
    </xdr:to>
    <xdr:sp macro="" textlink="">
      <xdr:nvSpPr>
        <xdr:cNvPr id="14788" name="Line 4">
          <a:extLst>
            <a:ext uri="{FF2B5EF4-FFF2-40B4-BE49-F238E27FC236}">
              <a16:creationId xmlns:a16="http://schemas.microsoft.com/office/drawing/2014/main" id="{00000000-0008-0000-0700-0000C4390000}"/>
            </a:ext>
          </a:extLst>
        </xdr:cNvPr>
        <xdr:cNvSpPr>
          <a:spLocks noChangeShapeType="1"/>
        </xdr:cNvSpPr>
      </xdr:nvSpPr>
      <xdr:spPr bwMode="auto">
        <a:xfrm>
          <a:off x="5562600" y="2790825"/>
          <a:ext cx="0" cy="19431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19050</xdr:rowOff>
    </xdr:from>
    <xdr:to>
      <xdr:col>28</xdr:col>
      <xdr:colOff>457200</xdr:colOff>
      <xdr:row>4</xdr:row>
      <xdr:rowOff>133350</xdr:rowOff>
    </xdr:to>
    <xdr:grpSp>
      <xdr:nvGrpSpPr>
        <xdr:cNvPr id="14789" name="Group 7">
          <a:extLst>
            <a:ext uri="{FF2B5EF4-FFF2-40B4-BE49-F238E27FC236}">
              <a16:creationId xmlns:a16="http://schemas.microsoft.com/office/drawing/2014/main" id="{00000000-0008-0000-0700-0000C5390000}"/>
            </a:ext>
          </a:extLst>
        </xdr:cNvPr>
        <xdr:cNvGrpSpPr>
          <a:grpSpLocks/>
        </xdr:cNvGrpSpPr>
      </xdr:nvGrpSpPr>
      <xdr:grpSpPr bwMode="auto">
        <a:xfrm>
          <a:off x="152400" y="200025"/>
          <a:ext cx="6257925" cy="619125"/>
          <a:chOff x="16" y="4"/>
          <a:chExt cx="657" cy="65"/>
        </a:xfrm>
      </xdr:grpSpPr>
      <xdr:pic>
        <xdr:nvPicPr>
          <xdr:cNvPr id="14790" name="Imagen 2">
            <a:extLst>
              <a:ext uri="{FF2B5EF4-FFF2-40B4-BE49-F238E27FC236}">
                <a16:creationId xmlns:a16="http://schemas.microsoft.com/office/drawing/2014/main" id="{00000000-0008-0000-0700-0000C639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153" name="1 Cuadro de texto">
            <a:extLst>
              <a:ext uri="{FF2B5EF4-FFF2-40B4-BE49-F238E27FC236}">
                <a16:creationId xmlns:a16="http://schemas.microsoft.com/office/drawing/2014/main" id="{00000000-0008-0000-0700-000009180000}"/>
              </a:ext>
            </a:extLst>
          </xdr:cNvPr>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38100</xdr:colOff>
      <xdr:row>26</xdr:row>
      <xdr:rowOff>28575</xdr:rowOff>
    </xdr:from>
    <xdr:to>
      <xdr:col>14</xdr:col>
      <xdr:colOff>19050</xdr:colOff>
      <xdr:row>26</xdr:row>
      <xdr:rowOff>28575</xdr:rowOff>
    </xdr:to>
    <xdr:sp macro="" textlink="">
      <xdr:nvSpPr>
        <xdr:cNvPr id="16129" name="Line 3">
          <a:extLst>
            <a:ext uri="{FF2B5EF4-FFF2-40B4-BE49-F238E27FC236}">
              <a16:creationId xmlns:a16="http://schemas.microsoft.com/office/drawing/2014/main" id="{00000000-0008-0000-0800-0000013F0000}"/>
            </a:ext>
          </a:extLst>
        </xdr:cNvPr>
        <xdr:cNvSpPr>
          <a:spLocks noChangeShapeType="1"/>
        </xdr:cNvSpPr>
      </xdr:nvSpPr>
      <xdr:spPr bwMode="auto">
        <a:xfrm>
          <a:off x="4610100" y="4791075"/>
          <a:ext cx="971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28575</xdr:rowOff>
    </xdr:from>
    <xdr:to>
      <xdr:col>11</xdr:col>
      <xdr:colOff>38100</xdr:colOff>
      <xdr:row>30</xdr:row>
      <xdr:rowOff>28575</xdr:rowOff>
    </xdr:to>
    <xdr:sp macro="" textlink="">
      <xdr:nvSpPr>
        <xdr:cNvPr id="16130" name="Line 4">
          <a:extLst>
            <a:ext uri="{FF2B5EF4-FFF2-40B4-BE49-F238E27FC236}">
              <a16:creationId xmlns:a16="http://schemas.microsoft.com/office/drawing/2014/main" id="{00000000-0008-0000-0800-0000023F0000}"/>
            </a:ext>
          </a:extLst>
        </xdr:cNvPr>
        <xdr:cNvSpPr>
          <a:spLocks noChangeShapeType="1"/>
        </xdr:cNvSpPr>
      </xdr:nvSpPr>
      <xdr:spPr bwMode="auto">
        <a:xfrm>
          <a:off x="3333750" y="5476875"/>
          <a:ext cx="9239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28</xdr:row>
      <xdr:rowOff>95250</xdr:rowOff>
    </xdr:from>
    <xdr:to>
      <xdr:col>8</xdr:col>
      <xdr:colOff>342900</xdr:colOff>
      <xdr:row>28</xdr:row>
      <xdr:rowOff>95250</xdr:rowOff>
    </xdr:to>
    <xdr:sp macro="" textlink="">
      <xdr:nvSpPr>
        <xdr:cNvPr id="16131" name="Line 5">
          <a:extLst>
            <a:ext uri="{FF2B5EF4-FFF2-40B4-BE49-F238E27FC236}">
              <a16:creationId xmlns:a16="http://schemas.microsoft.com/office/drawing/2014/main" id="{00000000-0008-0000-0800-0000033F0000}"/>
            </a:ext>
          </a:extLst>
        </xdr:cNvPr>
        <xdr:cNvSpPr>
          <a:spLocks noChangeShapeType="1"/>
        </xdr:cNvSpPr>
      </xdr:nvSpPr>
      <xdr:spPr bwMode="auto">
        <a:xfrm>
          <a:off x="2209800" y="5219700"/>
          <a:ext cx="10572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41</xdr:row>
      <xdr:rowOff>0</xdr:rowOff>
    </xdr:from>
    <xdr:to>
      <xdr:col>6</xdr:col>
      <xdr:colOff>95250</xdr:colOff>
      <xdr:row>41</xdr:row>
      <xdr:rowOff>0</xdr:rowOff>
    </xdr:to>
    <xdr:sp macro="" textlink="">
      <xdr:nvSpPr>
        <xdr:cNvPr id="16132" name="Line 6">
          <a:extLst>
            <a:ext uri="{FF2B5EF4-FFF2-40B4-BE49-F238E27FC236}">
              <a16:creationId xmlns:a16="http://schemas.microsoft.com/office/drawing/2014/main" id="{00000000-0008-0000-0800-0000043F0000}"/>
            </a:ext>
          </a:extLst>
        </xdr:cNvPr>
        <xdr:cNvSpPr>
          <a:spLocks noChangeShapeType="1"/>
        </xdr:cNvSpPr>
      </xdr:nvSpPr>
      <xdr:spPr bwMode="auto">
        <a:xfrm>
          <a:off x="438150" y="7439025"/>
          <a:ext cx="1743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14</xdr:col>
      <xdr:colOff>809625</xdr:colOff>
      <xdr:row>41</xdr:row>
      <xdr:rowOff>0</xdr:rowOff>
    </xdr:to>
    <xdr:sp macro="" textlink="">
      <xdr:nvSpPr>
        <xdr:cNvPr id="16133" name="Line 7">
          <a:extLst>
            <a:ext uri="{FF2B5EF4-FFF2-40B4-BE49-F238E27FC236}">
              <a16:creationId xmlns:a16="http://schemas.microsoft.com/office/drawing/2014/main" id="{00000000-0008-0000-0800-0000053F0000}"/>
            </a:ext>
          </a:extLst>
        </xdr:cNvPr>
        <xdr:cNvSpPr>
          <a:spLocks noChangeShapeType="1"/>
        </xdr:cNvSpPr>
      </xdr:nvSpPr>
      <xdr:spPr bwMode="auto">
        <a:xfrm>
          <a:off x="4572000" y="7439025"/>
          <a:ext cx="18002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53</xdr:row>
      <xdr:rowOff>0</xdr:rowOff>
    </xdr:from>
    <xdr:to>
      <xdr:col>15</xdr:col>
      <xdr:colOff>9525</xdr:colOff>
      <xdr:row>64</xdr:row>
      <xdr:rowOff>0</xdr:rowOff>
    </xdr:to>
    <xdr:sp macro="" textlink="">
      <xdr:nvSpPr>
        <xdr:cNvPr id="16134" name="Line 8">
          <a:extLst>
            <a:ext uri="{FF2B5EF4-FFF2-40B4-BE49-F238E27FC236}">
              <a16:creationId xmlns:a16="http://schemas.microsoft.com/office/drawing/2014/main" id="{00000000-0008-0000-0800-0000063F0000}"/>
            </a:ext>
          </a:extLst>
        </xdr:cNvPr>
        <xdr:cNvSpPr>
          <a:spLocks noChangeShapeType="1"/>
        </xdr:cNvSpPr>
      </xdr:nvSpPr>
      <xdr:spPr bwMode="auto">
        <a:xfrm>
          <a:off x="6477000" y="9610725"/>
          <a:ext cx="0" cy="197167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64</xdr:row>
      <xdr:rowOff>9525</xdr:rowOff>
    </xdr:from>
    <xdr:to>
      <xdr:col>15</xdr:col>
      <xdr:colOff>9525</xdr:colOff>
      <xdr:row>64</xdr:row>
      <xdr:rowOff>9525</xdr:rowOff>
    </xdr:to>
    <xdr:sp macro="" textlink="">
      <xdr:nvSpPr>
        <xdr:cNvPr id="16135" name="Line 9">
          <a:extLst>
            <a:ext uri="{FF2B5EF4-FFF2-40B4-BE49-F238E27FC236}">
              <a16:creationId xmlns:a16="http://schemas.microsoft.com/office/drawing/2014/main" id="{00000000-0008-0000-0800-0000073F0000}"/>
            </a:ext>
          </a:extLst>
        </xdr:cNvPr>
        <xdr:cNvSpPr>
          <a:spLocks noChangeShapeType="1"/>
        </xdr:cNvSpPr>
      </xdr:nvSpPr>
      <xdr:spPr bwMode="auto">
        <a:xfrm flipV="1">
          <a:off x="4238625" y="11591925"/>
          <a:ext cx="22383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35</xdr:row>
      <xdr:rowOff>0</xdr:rowOff>
    </xdr:from>
    <xdr:to>
      <xdr:col>14</xdr:col>
      <xdr:colOff>581025</xdr:colOff>
      <xdr:row>35</xdr:row>
      <xdr:rowOff>0</xdr:rowOff>
    </xdr:to>
    <xdr:sp macro="" textlink="">
      <xdr:nvSpPr>
        <xdr:cNvPr id="16136" name="Line 10">
          <a:extLst>
            <a:ext uri="{FF2B5EF4-FFF2-40B4-BE49-F238E27FC236}">
              <a16:creationId xmlns:a16="http://schemas.microsoft.com/office/drawing/2014/main" id="{00000000-0008-0000-0800-0000083F0000}"/>
            </a:ext>
          </a:extLst>
        </xdr:cNvPr>
        <xdr:cNvSpPr>
          <a:spLocks noChangeShapeType="1"/>
        </xdr:cNvSpPr>
      </xdr:nvSpPr>
      <xdr:spPr bwMode="auto">
        <a:xfrm>
          <a:off x="2466975" y="6353175"/>
          <a:ext cx="36766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46</xdr:row>
      <xdr:rowOff>0</xdr:rowOff>
    </xdr:from>
    <xdr:to>
      <xdr:col>12</xdr:col>
      <xdr:colOff>57150</xdr:colOff>
      <xdr:row>48</xdr:row>
      <xdr:rowOff>0</xdr:rowOff>
    </xdr:to>
    <xdr:sp macro="" textlink="">
      <xdr:nvSpPr>
        <xdr:cNvPr id="16137" name="Line 13">
          <a:extLst>
            <a:ext uri="{FF2B5EF4-FFF2-40B4-BE49-F238E27FC236}">
              <a16:creationId xmlns:a16="http://schemas.microsoft.com/office/drawing/2014/main" id="{00000000-0008-0000-0800-0000093F0000}"/>
            </a:ext>
          </a:extLst>
        </xdr:cNvPr>
        <xdr:cNvSpPr>
          <a:spLocks noChangeShapeType="1"/>
        </xdr:cNvSpPr>
      </xdr:nvSpPr>
      <xdr:spPr bwMode="auto">
        <a:xfrm>
          <a:off x="4629150" y="8343900"/>
          <a:ext cx="0" cy="3619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14</xdr:col>
      <xdr:colOff>847725</xdr:colOff>
      <xdr:row>4</xdr:row>
      <xdr:rowOff>38100</xdr:rowOff>
    </xdr:to>
    <xdr:grpSp>
      <xdr:nvGrpSpPr>
        <xdr:cNvPr id="16138" name="Group 14">
          <a:extLst>
            <a:ext uri="{FF2B5EF4-FFF2-40B4-BE49-F238E27FC236}">
              <a16:creationId xmlns:a16="http://schemas.microsoft.com/office/drawing/2014/main" id="{00000000-0008-0000-0800-00000A3F0000}"/>
            </a:ext>
          </a:extLst>
        </xdr:cNvPr>
        <xdr:cNvGrpSpPr>
          <a:grpSpLocks/>
        </xdr:cNvGrpSpPr>
      </xdr:nvGrpSpPr>
      <xdr:grpSpPr bwMode="auto">
        <a:xfrm>
          <a:off x="152400" y="198521"/>
          <a:ext cx="6269957" cy="611605"/>
          <a:chOff x="16" y="4"/>
          <a:chExt cx="657" cy="65"/>
        </a:xfrm>
      </xdr:grpSpPr>
      <xdr:pic>
        <xdr:nvPicPr>
          <xdr:cNvPr id="16139" name="Imagen 2">
            <a:extLst>
              <a:ext uri="{FF2B5EF4-FFF2-40B4-BE49-F238E27FC236}">
                <a16:creationId xmlns:a16="http://schemas.microsoft.com/office/drawing/2014/main" id="{00000000-0008-0000-0800-00000B3F0000}"/>
              </a:ext>
            </a:extLst>
          </xdr:cNvPr>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208" name="1 Cuadro de texto">
            <a:extLst>
              <a:ext uri="{FF2B5EF4-FFF2-40B4-BE49-F238E27FC236}">
                <a16:creationId xmlns:a16="http://schemas.microsoft.com/office/drawing/2014/main" id="{00000000-0008-0000-0800-000010200000}"/>
              </a:ext>
            </a:extLst>
          </xdr:cNvPr>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8</xdr:col>
          <xdr:colOff>323850</xdr:colOff>
          <xdr:row>64</xdr:row>
          <xdr:rowOff>95250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1</xdr:row>
      <xdr:rowOff>0</xdr:rowOff>
    </xdr:from>
    <xdr:to>
      <xdr:col>1</xdr:col>
      <xdr:colOff>695325</xdr:colOff>
      <xdr:row>3</xdr:row>
      <xdr:rowOff>85725</xdr:rowOff>
    </xdr:to>
    <xdr:pic>
      <xdr:nvPicPr>
        <xdr:cNvPr id="27692" name="2 Imagen">
          <a:extLst>
            <a:ext uri="{FF2B5EF4-FFF2-40B4-BE49-F238E27FC236}">
              <a16:creationId xmlns:a16="http://schemas.microsoft.com/office/drawing/2014/main" id="{00000000-0008-0000-0C00-00002C6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161925"/>
          <a:ext cx="514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image" Target="../media/image2.emf"/><Relationship Id="rId5" Type="http://schemas.openxmlformats.org/officeDocument/2006/relationships/oleObject" Target="../embeddings/Microsoft_Word_97_-_2003_Document.doc"/><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tabColor rgb="FFFFFF00"/>
  </sheetPr>
  <dimension ref="A1:N99"/>
  <sheetViews>
    <sheetView topLeftCell="A19" workbookViewId="0">
      <selection activeCell="G19" sqref="G19"/>
    </sheetView>
  </sheetViews>
  <sheetFormatPr baseColWidth="10" defaultRowHeight="12.75" x14ac:dyDescent="0.2"/>
  <cols>
    <col min="1" max="2" width="15.7109375" customWidth="1"/>
    <col min="3" max="3" width="12.140625" customWidth="1"/>
    <col min="4" max="4" width="10.140625" customWidth="1"/>
    <col min="5" max="5" width="12.5703125" customWidth="1"/>
    <col min="6" max="6" width="10.140625" customWidth="1"/>
    <col min="7" max="7" width="12.28515625" customWidth="1"/>
  </cols>
  <sheetData>
    <row r="1" spans="1:14" ht="14.25" x14ac:dyDescent="0.2">
      <c r="B1" s="873"/>
      <c r="C1" s="873"/>
      <c r="D1" s="873"/>
      <c r="E1" s="873"/>
      <c r="F1" s="873"/>
      <c r="G1" s="873"/>
      <c r="H1" s="5"/>
      <c r="I1" s="6"/>
      <c r="J1" s="6"/>
      <c r="K1" s="6"/>
      <c r="L1" s="6"/>
      <c r="M1" s="6"/>
      <c r="N1" s="6"/>
    </row>
    <row r="2" spans="1:14" x14ac:dyDescent="0.2">
      <c r="A2" s="5"/>
      <c r="B2" s="875"/>
      <c r="C2" s="875"/>
      <c r="D2" s="875"/>
      <c r="E2" s="875"/>
      <c r="F2" s="875"/>
      <c r="G2" s="875"/>
      <c r="H2" s="6"/>
      <c r="I2" s="6"/>
      <c r="J2" s="6"/>
      <c r="K2" s="6"/>
      <c r="L2" s="6"/>
      <c r="M2" s="6"/>
      <c r="N2" s="6"/>
    </row>
    <row r="3" spans="1:14" x14ac:dyDescent="0.2">
      <c r="A3" s="5"/>
      <c r="B3" s="6"/>
      <c r="C3" s="6"/>
      <c r="D3" s="6"/>
      <c r="E3" s="6"/>
      <c r="F3" s="6"/>
      <c r="G3" s="6"/>
      <c r="H3" s="6"/>
      <c r="I3" s="6"/>
      <c r="J3" s="6"/>
      <c r="K3" s="6"/>
      <c r="L3" s="6"/>
      <c r="M3" s="6"/>
      <c r="N3" s="6"/>
    </row>
    <row r="4" spans="1:14" x14ac:dyDescent="0.2">
      <c r="A4" s="5"/>
      <c r="B4" s="5"/>
      <c r="C4" s="5"/>
      <c r="D4" s="5"/>
      <c r="E4" s="6"/>
      <c r="F4" s="6"/>
      <c r="G4" s="6"/>
      <c r="H4" s="6"/>
      <c r="I4" s="6"/>
      <c r="J4" s="6"/>
      <c r="K4" s="6"/>
      <c r="L4" s="6"/>
      <c r="M4" s="6"/>
      <c r="N4" s="6"/>
    </row>
    <row r="5" spans="1:14" x14ac:dyDescent="0.2">
      <c r="A5" s="5"/>
      <c r="B5" s="5"/>
      <c r="C5" s="5"/>
      <c r="D5" s="5"/>
      <c r="E5" s="6"/>
      <c r="F5" s="6"/>
      <c r="G5" s="6"/>
      <c r="H5" s="6"/>
      <c r="I5" s="6"/>
      <c r="J5" s="6"/>
      <c r="K5" s="6"/>
      <c r="L5" s="6"/>
      <c r="M5" s="6"/>
      <c r="N5" s="6"/>
    </row>
    <row r="6" spans="1:14" x14ac:dyDescent="0.2">
      <c r="A6" s="5"/>
      <c r="B6" s="5"/>
      <c r="C6" s="5"/>
      <c r="D6" s="5"/>
      <c r="E6" s="6"/>
      <c r="F6" s="6"/>
      <c r="G6" s="6"/>
      <c r="H6" s="6"/>
      <c r="I6" s="6"/>
      <c r="J6" s="6"/>
      <c r="K6" s="6"/>
      <c r="L6" s="6"/>
      <c r="M6" s="6"/>
      <c r="N6" s="6"/>
    </row>
    <row r="7" spans="1:14" x14ac:dyDescent="0.2">
      <c r="A7" s="5" t="s">
        <v>251</v>
      </c>
      <c r="B7" s="5"/>
      <c r="C7" s="5"/>
      <c r="D7" s="5"/>
      <c r="E7" s="6"/>
      <c r="F7" s="6"/>
      <c r="G7" s="6"/>
      <c r="H7" s="6"/>
      <c r="I7" s="6"/>
      <c r="J7" s="6"/>
      <c r="K7" s="6"/>
      <c r="L7" s="6"/>
      <c r="M7" s="6"/>
      <c r="N7" s="6"/>
    </row>
    <row r="8" spans="1:14" ht="15" x14ac:dyDescent="0.2">
      <c r="A8" s="62" t="s">
        <v>252</v>
      </c>
      <c r="B8" s="63"/>
      <c r="C8" s="63"/>
      <c r="D8" s="5"/>
      <c r="E8" s="6"/>
      <c r="F8" s="6"/>
      <c r="G8" s="6"/>
      <c r="H8" s="6"/>
      <c r="I8" s="6"/>
      <c r="J8" s="6"/>
      <c r="K8" s="6"/>
      <c r="L8" s="6"/>
      <c r="M8" s="6"/>
      <c r="N8" s="6"/>
    </row>
    <row r="9" spans="1:14" x14ac:dyDescent="0.2">
      <c r="A9" s="5"/>
      <c r="B9" s="5"/>
      <c r="C9" s="5"/>
      <c r="D9" s="5"/>
      <c r="E9" s="6"/>
      <c r="F9" s="6"/>
      <c r="G9" s="6"/>
      <c r="H9" s="6"/>
      <c r="I9" s="6"/>
      <c r="J9" s="6"/>
      <c r="K9" s="6"/>
      <c r="L9" s="6"/>
      <c r="M9" s="6"/>
      <c r="N9" s="6"/>
    </row>
    <row r="10" spans="1:14" x14ac:dyDescent="0.2">
      <c r="A10" s="5" t="s">
        <v>253</v>
      </c>
      <c r="B10" s="182">
        <f>Datos!K44</f>
        <v>0</v>
      </c>
      <c r="C10" s="182"/>
      <c r="D10" s="182"/>
      <c r="E10" s="6"/>
      <c r="F10" s="6"/>
      <c r="G10" s="6"/>
      <c r="H10" s="6"/>
      <c r="I10" s="6"/>
      <c r="J10" s="6"/>
      <c r="K10" s="6"/>
      <c r="L10" s="6"/>
      <c r="M10" s="6"/>
      <c r="N10" s="6"/>
    </row>
    <row r="11" spans="1:14" x14ac:dyDescent="0.2">
      <c r="A11" s="5" t="s">
        <v>254</v>
      </c>
      <c r="B11" s="185">
        <f>Datos!K45</f>
        <v>0</v>
      </c>
      <c r="C11" s="215">
        <f>Datos!K46</f>
        <v>0</v>
      </c>
      <c r="D11" s="182">
        <f>Datos!K47</f>
        <v>0</v>
      </c>
      <c r="F11" s="6" t="s">
        <v>155</v>
      </c>
      <c r="G11" s="181">
        <f>Datos!K48</f>
        <v>0</v>
      </c>
      <c r="H11" s="6"/>
      <c r="I11" s="6"/>
      <c r="J11" s="6"/>
      <c r="K11" s="6"/>
      <c r="L11" s="6"/>
      <c r="M11" s="6"/>
      <c r="N11" s="6"/>
    </row>
    <row r="12" spans="1:14" x14ac:dyDescent="0.2">
      <c r="A12" s="5" t="s">
        <v>255</v>
      </c>
      <c r="B12" s="182">
        <f>Datos!K29</f>
        <v>0</v>
      </c>
      <c r="C12" s="182"/>
      <c r="D12" s="182"/>
      <c r="E12" s="6"/>
      <c r="F12" s="6"/>
      <c r="G12" s="181"/>
      <c r="H12" s="6"/>
      <c r="I12" s="6"/>
      <c r="J12" s="6"/>
      <c r="K12" s="6"/>
      <c r="L12" s="6"/>
      <c r="M12" s="6"/>
      <c r="N12" s="6"/>
    </row>
    <row r="13" spans="1:14" x14ac:dyDescent="0.2">
      <c r="A13" s="5" t="s">
        <v>256</v>
      </c>
      <c r="B13" s="182">
        <f>Datos!K32</f>
        <v>0</v>
      </c>
      <c r="C13" s="181"/>
      <c r="D13" s="215">
        <f>Datos!K33</f>
        <v>0</v>
      </c>
      <c r="E13" s="6" t="s">
        <v>155</v>
      </c>
      <c r="F13" s="181">
        <f>Datos!K35</f>
        <v>0</v>
      </c>
      <c r="G13" s="181"/>
      <c r="H13" s="6"/>
      <c r="I13" s="6"/>
      <c r="J13" s="6"/>
      <c r="K13" s="6"/>
      <c r="L13" s="6"/>
      <c r="M13" s="6"/>
      <c r="N13" s="6"/>
    </row>
    <row r="14" spans="1:14" x14ac:dyDescent="0.2">
      <c r="A14" s="5" t="s">
        <v>257</v>
      </c>
      <c r="B14" s="182">
        <f>Datos!K18</f>
        <v>0</v>
      </c>
      <c r="C14" s="182"/>
      <c r="D14" s="182"/>
      <c r="E14" s="6"/>
      <c r="F14" s="6"/>
      <c r="G14" s="181"/>
      <c r="H14" s="6"/>
      <c r="I14" s="6"/>
      <c r="J14" s="6"/>
      <c r="K14" s="6"/>
      <c r="L14" s="6"/>
      <c r="M14" s="6"/>
      <c r="N14" s="6"/>
    </row>
    <row r="15" spans="1:14" x14ac:dyDescent="0.2">
      <c r="A15" s="5" t="s">
        <v>256</v>
      </c>
      <c r="B15" s="184">
        <f>Datos!K20</f>
        <v>0</v>
      </c>
      <c r="C15" s="183">
        <f>Datos!K21</f>
        <v>0</v>
      </c>
      <c r="D15" s="182">
        <f>Datos!K22</f>
        <v>0</v>
      </c>
      <c r="F15" s="6" t="s">
        <v>155</v>
      </c>
      <c r="G15" s="181">
        <f>Datos!K23</f>
        <v>0</v>
      </c>
      <c r="H15" s="6"/>
      <c r="I15" s="6"/>
      <c r="J15" s="6"/>
      <c r="K15" s="6"/>
      <c r="L15" s="6"/>
      <c r="M15" s="6"/>
      <c r="N15" s="6"/>
    </row>
    <row r="16" spans="1:14" ht="13.5" thickBot="1" x14ac:dyDescent="0.25">
      <c r="A16" s="6"/>
      <c r="B16" s="6"/>
      <c r="C16" s="6"/>
      <c r="D16" s="6"/>
      <c r="E16" s="6"/>
      <c r="F16" s="6"/>
      <c r="G16" s="6"/>
      <c r="H16" s="6"/>
      <c r="I16" s="6"/>
      <c r="J16" s="6"/>
      <c r="K16" s="6"/>
      <c r="L16" s="6"/>
      <c r="M16" s="6"/>
      <c r="N16" s="6"/>
    </row>
    <row r="17" spans="1:14" ht="13.5" thickBot="1" x14ac:dyDescent="0.25">
      <c r="A17" s="64" t="s">
        <v>258</v>
      </c>
      <c r="B17" s="65"/>
      <c r="C17" s="65"/>
      <c r="D17" s="66" t="s">
        <v>331</v>
      </c>
      <c r="E17" s="66" t="s">
        <v>259</v>
      </c>
      <c r="F17" s="67" t="s">
        <v>260</v>
      </c>
      <c r="G17" s="68" t="s">
        <v>261</v>
      </c>
      <c r="H17" s="6"/>
      <c r="I17" s="6"/>
      <c r="J17" s="6"/>
      <c r="K17" s="6"/>
      <c r="L17" s="6"/>
      <c r="M17" s="6"/>
      <c r="N17" s="6"/>
    </row>
    <row r="18" spans="1:14" ht="13.5" thickBot="1" x14ac:dyDescent="0.25">
      <c r="A18" s="6"/>
      <c r="B18" s="6"/>
      <c r="C18" s="6"/>
      <c r="D18" s="6"/>
      <c r="E18" s="69"/>
      <c r="F18" s="65"/>
      <c r="G18" s="6"/>
      <c r="H18" s="6"/>
      <c r="I18" s="6"/>
      <c r="J18" s="6"/>
      <c r="K18" s="6"/>
      <c r="L18" s="6"/>
      <c r="M18" s="6"/>
      <c r="N18" s="6"/>
    </row>
    <row r="19" spans="1:14" x14ac:dyDescent="0.2">
      <c r="A19" s="70" t="s">
        <v>262</v>
      </c>
      <c r="B19" s="71"/>
      <c r="C19" s="71"/>
      <c r="D19" s="72">
        <v>1</v>
      </c>
      <c r="E19" s="89">
        <v>1</v>
      </c>
      <c r="F19" s="86">
        <f t="shared" ref="F19:F25" si="0">D19*E19/100</f>
        <v>0.01</v>
      </c>
      <c r="G19" s="94" t="s">
        <v>263</v>
      </c>
      <c r="H19" s="6"/>
      <c r="I19" s="6"/>
      <c r="J19" s="6"/>
      <c r="K19" s="6"/>
      <c r="L19" s="6"/>
      <c r="M19" s="6"/>
      <c r="N19" s="6"/>
    </row>
    <row r="20" spans="1:14" x14ac:dyDescent="0.2">
      <c r="A20" s="73" t="s">
        <v>264</v>
      </c>
      <c r="B20" s="60"/>
      <c r="C20" s="74"/>
      <c r="D20" s="75">
        <v>18</v>
      </c>
      <c r="E20" s="90">
        <v>1</v>
      </c>
      <c r="F20" s="87">
        <f t="shared" si="0"/>
        <v>0.18</v>
      </c>
      <c r="G20" s="91" t="s">
        <v>263</v>
      </c>
      <c r="H20" s="6"/>
      <c r="I20" s="6"/>
      <c r="J20" s="6"/>
      <c r="K20" s="6"/>
      <c r="L20" s="6"/>
      <c r="M20" s="6"/>
      <c r="N20" s="6"/>
    </row>
    <row r="21" spans="1:14" x14ac:dyDescent="0.2">
      <c r="A21" s="73" t="s">
        <v>265</v>
      </c>
      <c r="B21" s="60"/>
      <c r="C21" s="74"/>
      <c r="D21" s="75">
        <v>1</v>
      </c>
      <c r="E21" s="90">
        <v>1</v>
      </c>
      <c r="F21" s="87">
        <f t="shared" si="0"/>
        <v>0.01</v>
      </c>
      <c r="G21" s="91" t="s">
        <v>263</v>
      </c>
      <c r="H21" s="6"/>
      <c r="I21" s="6"/>
      <c r="J21" s="6"/>
      <c r="K21" s="6"/>
      <c r="L21" s="6"/>
      <c r="M21" s="6"/>
      <c r="N21" s="6"/>
    </row>
    <row r="22" spans="1:14" x14ac:dyDescent="0.2">
      <c r="A22" s="73" t="s">
        <v>266</v>
      </c>
      <c r="B22" s="60"/>
      <c r="C22" s="74"/>
      <c r="D22" s="75">
        <v>14</v>
      </c>
      <c r="E22" s="90">
        <v>1</v>
      </c>
      <c r="F22" s="87">
        <f t="shared" si="0"/>
        <v>0.14000000000000001</v>
      </c>
      <c r="G22" s="91" t="s">
        <v>263</v>
      </c>
      <c r="H22" s="6"/>
      <c r="I22" s="6"/>
      <c r="J22" s="6"/>
      <c r="K22" s="6"/>
      <c r="L22" s="6"/>
      <c r="M22" s="6"/>
      <c r="N22" s="6"/>
    </row>
    <row r="23" spans="1:14" x14ac:dyDescent="0.2">
      <c r="A23" s="73" t="s">
        <v>267</v>
      </c>
      <c r="B23" s="60"/>
      <c r="C23" s="74"/>
      <c r="D23" s="75">
        <v>3</v>
      </c>
      <c r="E23" s="90">
        <v>1</v>
      </c>
      <c r="F23" s="87">
        <f t="shared" si="0"/>
        <v>0.03</v>
      </c>
      <c r="G23" s="91" t="s">
        <v>263</v>
      </c>
      <c r="H23" s="6"/>
      <c r="I23" s="6"/>
      <c r="J23" s="6"/>
      <c r="K23" s="6"/>
      <c r="L23" s="6"/>
      <c r="M23" s="6"/>
      <c r="N23" s="6"/>
    </row>
    <row r="24" spans="1:14" x14ac:dyDescent="0.2">
      <c r="A24" s="73" t="s">
        <v>268</v>
      </c>
      <c r="B24" s="60"/>
      <c r="C24" s="74"/>
      <c r="D24" s="75">
        <v>6</v>
      </c>
      <c r="E24" s="90">
        <v>1</v>
      </c>
      <c r="F24" s="87">
        <f t="shared" si="0"/>
        <v>0.06</v>
      </c>
      <c r="G24" s="91" t="s">
        <v>263</v>
      </c>
      <c r="H24" s="6"/>
      <c r="I24" s="6"/>
      <c r="J24" s="6"/>
      <c r="K24" s="6"/>
      <c r="L24" s="6"/>
      <c r="M24" s="6"/>
      <c r="N24" s="6"/>
    </row>
    <row r="25" spans="1:14" x14ac:dyDescent="0.2">
      <c r="A25" s="95" t="s">
        <v>269</v>
      </c>
      <c r="B25" s="96"/>
      <c r="C25" s="97"/>
      <c r="D25" s="98">
        <v>1</v>
      </c>
      <c r="E25" s="99">
        <v>1</v>
      </c>
      <c r="F25" s="100">
        <f t="shared" si="0"/>
        <v>0.01</v>
      </c>
      <c r="G25" s="101" t="s">
        <v>263</v>
      </c>
      <c r="H25" s="6"/>
      <c r="I25" s="6"/>
      <c r="J25" s="6"/>
      <c r="K25" s="6"/>
      <c r="L25" s="6"/>
      <c r="M25" s="6"/>
      <c r="N25" s="6"/>
    </row>
    <row r="26" spans="1:14" x14ac:dyDescent="0.2">
      <c r="A26" s="73" t="s">
        <v>270</v>
      </c>
      <c r="B26" s="60"/>
      <c r="C26" s="60"/>
      <c r="D26" s="108"/>
      <c r="E26" s="108"/>
      <c r="F26" s="108"/>
      <c r="G26" s="107"/>
      <c r="H26" s="6"/>
      <c r="I26" s="6"/>
      <c r="J26" s="6"/>
      <c r="K26" s="6"/>
      <c r="L26" s="6"/>
      <c r="M26" s="6"/>
      <c r="N26" s="6"/>
    </row>
    <row r="27" spans="1:14" x14ac:dyDescent="0.2">
      <c r="A27" s="76" t="s">
        <v>271</v>
      </c>
      <c r="B27" s="47"/>
      <c r="C27" s="102"/>
      <c r="D27" s="103">
        <v>3</v>
      </c>
      <c r="E27" s="104">
        <v>1</v>
      </c>
      <c r="F27" s="105">
        <f>D27*E27/100</f>
        <v>0.03</v>
      </c>
      <c r="G27" s="106" t="s">
        <v>263</v>
      </c>
      <c r="H27" s="6"/>
      <c r="I27" s="6"/>
      <c r="J27" s="6"/>
      <c r="K27" s="6"/>
      <c r="L27" s="6"/>
      <c r="M27" s="6"/>
      <c r="N27" s="6"/>
    </row>
    <row r="28" spans="1:14" x14ac:dyDescent="0.2">
      <c r="A28" s="76" t="s">
        <v>272</v>
      </c>
      <c r="B28" s="47"/>
      <c r="C28" s="47"/>
      <c r="D28" s="75">
        <v>3</v>
      </c>
      <c r="E28" s="104">
        <v>1</v>
      </c>
      <c r="F28" s="87">
        <f>D28*E28/100</f>
        <v>0.03</v>
      </c>
      <c r="G28" s="91" t="s">
        <v>263</v>
      </c>
      <c r="H28" s="6"/>
      <c r="I28" s="6"/>
      <c r="J28" s="6"/>
      <c r="K28" s="6"/>
      <c r="L28" s="6"/>
      <c r="M28" s="6"/>
      <c r="N28" s="6"/>
    </row>
    <row r="29" spans="1:14" x14ac:dyDescent="0.2">
      <c r="A29" s="76" t="s">
        <v>273</v>
      </c>
      <c r="B29" s="47"/>
      <c r="C29" s="47"/>
      <c r="D29" s="75">
        <v>3</v>
      </c>
      <c r="E29" s="104">
        <v>1</v>
      </c>
      <c r="F29" s="87">
        <f>D29*E29/100</f>
        <v>0.03</v>
      </c>
      <c r="G29" s="91" t="s">
        <v>263</v>
      </c>
      <c r="H29" s="6"/>
      <c r="I29" s="6"/>
      <c r="J29" s="6"/>
      <c r="K29" s="6"/>
      <c r="L29" s="6"/>
      <c r="M29" s="6"/>
      <c r="N29" s="6"/>
    </row>
    <row r="30" spans="1:14" x14ac:dyDescent="0.2">
      <c r="A30" s="109" t="s">
        <v>274</v>
      </c>
      <c r="B30" s="6"/>
      <c r="C30" s="6"/>
      <c r="D30" s="98">
        <v>2</v>
      </c>
      <c r="E30" s="104">
        <v>1</v>
      </c>
      <c r="F30" s="100">
        <f>D30*E30/100</f>
        <v>0.02</v>
      </c>
      <c r="G30" s="101" t="s">
        <v>263</v>
      </c>
      <c r="H30" s="6"/>
      <c r="I30" s="6"/>
      <c r="J30" s="6"/>
      <c r="K30" s="6"/>
      <c r="L30" s="6"/>
      <c r="M30" s="6"/>
      <c r="N30" s="6"/>
    </row>
    <row r="31" spans="1:14" x14ac:dyDescent="0.2">
      <c r="A31" s="73" t="s">
        <v>275</v>
      </c>
      <c r="B31" s="60"/>
      <c r="C31" s="60"/>
      <c r="D31" s="108"/>
      <c r="E31" s="108"/>
      <c r="F31" s="108"/>
      <c r="G31" s="107"/>
      <c r="H31" s="6"/>
      <c r="I31" s="6"/>
      <c r="J31" s="6"/>
      <c r="K31" s="6"/>
      <c r="L31" s="6"/>
      <c r="M31" s="6"/>
      <c r="N31" s="6"/>
    </row>
    <row r="32" spans="1:14" x14ac:dyDescent="0.2">
      <c r="A32" s="76" t="s">
        <v>276</v>
      </c>
      <c r="B32" s="47"/>
      <c r="C32" s="47"/>
      <c r="D32" s="103">
        <v>1</v>
      </c>
      <c r="E32" s="104">
        <v>1</v>
      </c>
      <c r="F32" s="105">
        <f t="shared" ref="F32:F38" si="1">D32*E32/100</f>
        <v>0.01</v>
      </c>
      <c r="G32" s="106" t="s">
        <v>263</v>
      </c>
      <c r="H32" s="6"/>
      <c r="I32" s="6"/>
      <c r="J32" s="6"/>
      <c r="K32" s="6"/>
      <c r="L32" s="6"/>
      <c r="M32" s="6"/>
      <c r="N32" s="6"/>
    </row>
    <row r="33" spans="1:14" x14ac:dyDescent="0.2">
      <c r="A33" s="76" t="s">
        <v>277</v>
      </c>
      <c r="B33" s="47"/>
      <c r="C33" s="47"/>
      <c r="D33" s="75">
        <v>1</v>
      </c>
      <c r="E33" s="104">
        <v>1</v>
      </c>
      <c r="F33" s="87">
        <f t="shared" si="1"/>
        <v>0.01</v>
      </c>
      <c r="G33" s="91" t="s">
        <v>263</v>
      </c>
      <c r="H33" s="6"/>
      <c r="I33" s="6"/>
      <c r="J33" s="6"/>
      <c r="K33" s="6"/>
      <c r="L33" s="6"/>
      <c r="M33" s="6"/>
      <c r="N33" s="6"/>
    </row>
    <row r="34" spans="1:14" x14ac:dyDescent="0.2">
      <c r="A34" s="76" t="s">
        <v>278</v>
      </c>
      <c r="B34" s="47"/>
      <c r="C34" s="47"/>
      <c r="D34" s="75">
        <v>2</v>
      </c>
      <c r="E34" s="104">
        <v>1</v>
      </c>
      <c r="F34" s="87">
        <f t="shared" si="1"/>
        <v>0.02</v>
      </c>
      <c r="G34" s="91" t="s">
        <v>263</v>
      </c>
      <c r="H34" s="6"/>
      <c r="I34" s="6"/>
      <c r="J34" s="6"/>
      <c r="K34" s="6"/>
      <c r="L34" s="6"/>
      <c r="M34" s="6"/>
      <c r="N34" s="6"/>
    </row>
    <row r="35" spans="1:14" x14ac:dyDescent="0.2">
      <c r="A35" s="76" t="s">
        <v>279</v>
      </c>
      <c r="B35" s="47"/>
      <c r="C35" s="47"/>
      <c r="D35" s="75">
        <v>4</v>
      </c>
      <c r="E35" s="104">
        <v>1</v>
      </c>
      <c r="F35" s="87">
        <f t="shared" si="1"/>
        <v>0.04</v>
      </c>
      <c r="G35" s="91" t="s">
        <v>263</v>
      </c>
      <c r="H35" s="6"/>
      <c r="I35" s="6"/>
      <c r="J35" s="6"/>
      <c r="K35" s="6"/>
      <c r="L35" s="6"/>
      <c r="M35" s="6"/>
      <c r="N35" s="6"/>
    </row>
    <row r="36" spans="1:14" x14ac:dyDescent="0.2">
      <c r="A36" s="76" t="s">
        <v>280</v>
      </c>
      <c r="B36" s="47"/>
      <c r="C36" s="47"/>
      <c r="D36" s="75">
        <v>8</v>
      </c>
      <c r="E36" s="104">
        <v>1</v>
      </c>
      <c r="F36" s="87">
        <f t="shared" si="1"/>
        <v>0.08</v>
      </c>
      <c r="G36" s="91" t="s">
        <v>263</v>
      </c>
      <c r="H36" s="6"/>
      <c r="I36" s="6"/>
      <c r="J36" s="6"/>
      <c r="K36" s="6"/>
      <c r="L36" s="6"/>
      <c r="M36" s="6"/>
      <c r="N36" s="6"/>
    </row>
    <row r="37" spans="1:14" x14ac:dyDescent="0.2">
      <c r="A37" s="76" t="s">
        <v>281</v>
      </c>
      <c r="B37" s="47"/>
      <c r="C37" s="47"/>
      <c r="D37" s="75">
        <v>4</v>
      </c>
      <c r="E37" s="104">
        <v>1</v>
      </c>
      <c r="F37" s="87">
        <f t="shared" si="1"/>
        <v>0.04</v>
      </c>
      <c r="G37" s="91" t="s">
        <v>263</v>
      </c>
      <c r="H37" s="6"/>
      <c r="I37" s="6"/>
      <c r="J37" s="6"/>
      <c r="K37" s="6"/>
      <c r="L37" s="6"/>
      <c r="M37" s="6"/>
      <c r="N37" s="6"/>
    </row>
    <row r="38" spans="1:14" x14ac:dyDescent="0.2">
      <c r="A38" s="109" t="s">
        <v>282</v>
      </c>
      <c r="B38" s="6"/>
      <c r="C38" s="6"/>
      <c r="D38" s="98">
        <v>4</v>
      </c>
      <c r="E38" s="104">
        <v>1</v>
      </c>
      <c r="F38" s="100">
        <f t="shared" si="1"/>
        <v>0.04</v>
      </c>
      <c r="G38" s="101" t="s">
        <v>263</v>
      </c>
      <c r="H38" s="6"/>
      <c r="I38" s="6"/>
      <c r="J38" s="6"/>
      <c r="K38" s="6"/>
      <c r="L38" s="6"/>
      <c r="M38" s="6"/>
      <c r="N38" s="6"/>
    </row>
    <row r="39" spans="1:14" x14ac:dyDescent="0.2">
      <c r="A39" s="73" t="s">
        <v>283</v>
      </c>
      <c r="B39" s="60"/>
      <c r="C39" s="60"/>
      <c r="D39" s="108"/>
      <c r="E39" s="108"/>
      <c r="F39" s="108"/>
      <c r="G39" s="107"/>
      <c r="H39" s="6"/>
      <c r="I39" s="6"/>
      <c r="J39" s="6"/>
      <c r="K39" s="6"/>
      <c r="L39" s="6"/>
      <c r="M39" s="6"/>
      <c r="N39" s="6"/>
    </row>
    <row r="40" spans="1:14" x14ac:dyDescent="0.2">
      <c r="A40" s="76" t="s">
        <v>284</v>
      </c>
      <c r="B40" s="47"/>
      <c r="C40" s="47"/>
      <c r="D40" s="103">
        <v>3</v>
      </c>
      <c r="E40" s="104">
        <v>1</v>
      </c>
      <c r="F40" s="105">
        <f t="shared" ref="F40:F46" si="2">D40*E40/100</f>
        <v>0.03</v>
      </c>
      <c r="G40" s="106" t="s">
        <v>263</v>
      </c>
      <c r="H40" s="6"/>
      <c r="I40" s="6"/>
      <c r="J40" s="6"/>
      <c r="K40" s="6"/>
      <c r="L40" s="6"/>
      <c r="M40" s="6"/>
      <c r="N40" s="6"/>
    </row>
    <row r="41" spans="1:14" x14ac:dyDescent="0.2">
      <c r="A41" s="76" t="s">
        <v>285</v>
      </c>
      <c r="B41" s="47"/>
      <c r="C41" s="47"/>
      <c r="D41" s="75">
        <v>5</v>
      </c>
      <c r="E41" s="104">
        <v>1</v>
      </c>
      <c r="F41" s="87">
        <f t="shared" si="2"/>
        <v>0.05</v>
      </c>
      <c r="G41" s="91" t="s">
        <v>263</v>
      </c>
      <c r="H41" s="6"/>
      <c r="I41" s="6"/>
      <c r="J41" s="6"/>
      <c r="K41" s="6"/>
      <c r="L41" s="6"/>
      <c r="M41" s="6"/>
      <c r="N41" s="6"/>
    </row>
    <row r="42" spans="1:14" x14ac:dyDescent="0.2">
      <c r="A42" s="76" t="s">
        <v>286</v>
      </c>
      <c r="B42" s="47"/>
      <c r="C42" s="47"/>
      <c r="D42" s="75">
        <v>3</v>
      </c>
      <c r="E42" s="104">
        <v>1</v>
      </c>
      <c r="F42" s="87">
        <f t="shared" si="2"/>
        <v>0.03</v>
      </c>
      <c r="G42" s="91" t="s">
        <v>263</v>
      </c>
      <c r="H42" s="6"/>
      <c r="I42" s="6"/>
      <c r="J42" s="6"/>
      <c r="K42" s="6"/>
      <c r="L42" s="6"/>
      <c r="M42" s="6"/>
      <c r="N42" s="6"/>
    </row>
    <row r="43" spans="1:14" x14ac:dyDescent="0.2">
      <c r="A43" s="76" t="s">
        <v>288</v>
      </c>
      <c r="B43" s="47"/>
      <c r="C43" s="47"/>
      <c r="D43" s="75">
        <v>4</v>
      </c>
      <c r="E43" s="104">
        <v>1</v>
      </c>
      <c r="F43" s="87">
        <f t="shared" si="2"/>
        <v>0.04</v>
      </c>
      <c r="G43" s="91" t="s">
        <v>263</v>
      </c>
      <c r="H43" s="6"/>
      <c r="I43" s="6"/>
      <c r="J43" s="6"/>
      <c r="K43" s="6"/>
      <c r="L43" s="6"/>
      <c r="M43" s="6"/>
      <c r="N43" s="6"/>
    </row>
    <row r="44" spans="1:14" x14ac:dyDescent="0.2">
      <c r="A44" s="76" t="s">
        <v>289</v>
      </c>
      <c r="B44" s="47"/>
      <c r="C44" s="47"/>
      <c r="D44" s="75">
        <v>1</v>
      </c>
      <c r="E44" s="104">
        <v>1</v>
      </c>
      <c r="F44" s="87">
        <f t="shared" si="2"/>
        <v>0.01</v>
      </c>
      <c r="G44" s="91" t="s">
        <v>263</v>
      </c>
      <c r="H44" s="6"/>
      <c r="I44" s="6"/>
      <c r="J44" s="6"/>
      <c r="K44" s="6"/>
      <c r="L44" s="6"/>
      <c r="M44" s="6"/>
      <c r="N44" s="6"/>
    </row>
    <row r="45" spans="1:14" x14ac:dyDescent="0.2">
      <c r="A45" s="76" t="s">
        <v>290</v>
      </c>
      <c r="B45" s="47"/>
      <c r="C45" s="47"/>
      <c r="D45" s="75">
        <v>3</v>
      </c>
      <c r="E45" s="104">
        <v>1</v>
      </c>
      <c r="F45" s="87">
        <f t="shared" si="2"/>
        <v>0.03</v>
      </c>
      <c r="G45" s="91" t="s">
        <v>263</v>
      </c>
      <c r="H45" s="6"/>
      <c r="I45" s="6"/>
      <c r="J45" s="6"/>
      <c r="K45" s="6"/>
      <c r="L45" s="6"/>
      <c r="M45" s="6"/>
      <c r="N45" s="6"/>
    </row>
    <row r="46" spans="1:14" ht="13.5" thickBot="1" x14ac:dyDescent="0.25">
      <c r="A46" s="77" t="s">
        <v>291</v>
      </c>
      <c r="B46" s="78"/>
      <c r="C46" s="78"/>
      <c r="D46" s="79">
        <v>2</v>
      </c>
      <c r="E46" s="216">
        <v>1</v>
      </c>
      <c r="F46" s="88">
        <f t="shared" si="2"/>
        <v>0.02</v>
      </c>
      <c r="G46" s="92" t="s">
        <v>263</v>
      </c>
      <c r="H46" s="6"/>
      <c r="I46" s="6"/>
      <c r="J46" s="6"/>
      <c r="K46" s="6"/>
      <c r="L46" s="6"/>
      <c r="M46" s="6"/>
      <c r="N46" s="6"/>
    </row>
    <row r="47" spans="1:14" ht="13.5" thickBot="1" x14ac:dyDescent="0.25">
      <c r="A47" s="6"/>
      <c r="B47" s="6"/>
      <c r="C47" s="6"/>
      <c r="D47" s="48"/>
      <c r="E47" s="48"/>
      <c r="F47" s="80"/>
      <c r="G47" s="48"/>
      <c r="H47" s="6"/>
      <c r="I47" s="6"/>
      <c r="J47" s="6"/>
      <c r="K47" s="6"/>
      <c r="L47" s="6"/>
      <c r="M47" s="6"/>
      <c r="N47" s="6"/>
    </row>
    <row r="48" spans="1:14" ht="13.5" thickBot="1" x14ac:dyDescent="0.25">
      <c r="A48" s="6"/>
      <c r="B48" s="6"/>
      <c r="C48" s="6"/>
      <c r="D48" s="81">
        <f>D19+D20+D21+D22+D23+D24+D25+D27+D28+D29+D30+D32+D33+D34+D35+D36+D37+D38+D40+D41+D42+D43+D44+D45+D46</f>
        <v>100</v>
      </c>
      <c r="E48" s="82"/>
      <c r="F48" s="83">
        <f>SUM(F19:F47)</f>
        <v>1.0000000000000002</v>
      </c>
      <c r="G48" s="93" t="s">
        <v>263</v>
      </c>
      <c r="H48" s="6"/>
      <c r="I48" s="6"/>
      <c r="J48" s="6"/>
      <c r="K48" s="6"/>
      <c r="L48" s="6"/>
      <c r="M48" s="6"/>
      <c r="N48" s="6"/>
    </row>
    <row r="49" spans="1:14" x14ac:dyDescent="0.2">
      <c r="A49" s="6"/>
      <c r="B49" s="6"/>
      <c r="C49" s="6"/>
      <c r="D49" s="6"/>
      <c r="E49" s="6"/>
      <c r="F49" s="6"/>
      <c r="G49" s="6"/>
      <c r="H49" s="6"/>
      <c r="I49" s="6"/>
      <c r="J49" s="6"/>
      <c r="K49" s="6"/>
      <c r="L49" s="6"/>
      <c r="M49" s="6"/>
      <c r="N49" s="6"/>
    </row>
    <row r="50" spans="1:14" x14ac:dyDescent="0.2">
      <c r="A50" s="6" t="s">
        <v>292</v>
      </c>
      <c r="B50" s="6"/>
      <c r="C50" s="6"/>
      <c r="D50" s="6"/>
      <c r="E50" s="6"/>
      <c r="F50" s="85">
        <f>F48</f>
        <v>1.0000000000000002</v>
      </c>
      <c r="G50" s="84"/>
      <c r="H50" s="6"/>
      <c r="I50" s="6"/>
      <c r="J50" s="6"/>
      <c r="K50" s="6"/>
      <c r="L50" s="6"/>
      <c r="M50" s="6"/>
      <c r="N50" s="6"/>
    </row>
    <row r="51" spans="1:14" x14ac:dyDescent="0.2">
      <c r="A51" s="6"/>
      <c r="B51" s="6"/>
      <c r="C51" s="6"/>
      <c r="D51" s="6"/>
      <c r="E51" s="6"/>
      <c r="F51" s="6"/>
      <c r="G51" s="6"/>
      <c r="H51" s="6"/>
      <c r="I51" s="6"/>
      <c r="J51" s="6"/>
      <c r="K51" s="6"/>
      <c r="L51" s="6"/>
      <c r="M51" s="6"/>
      <c r="N51" s="6"/>
    </row>
    <row r="52" spans="1:14" x14ac:dyDescent="0.2">
      <c r="A52" s="6" t="s">
        <v>293</v>
      </c>
      <c r="B52" s="6"/>
      <c r="C52" s="6"/>
      <c r="D52" s="6"/>
      <c r="E52" s="6"/>
      <c r="F52" s="6"/>
      <c r="G52" s="6"/>
      <c r="H52" s="6"/>
      <c r="I52" s="6"/>
      <c r="J52" s="6"/>
      <c r="K52" s="6"/>
      <c r="L52" s="6"/>
      <c r="M52" s="6"/>
      <c r="N52" s="6"/>
    </row>
    <row r="53" spans="1:14" x14ac:dyDescent="0.2">
      <c r="A53" s="6" t="s">
        <v>5</v>
      </c>
      <c r="B53" s="6"/>
      <c r="C53" s="6"/>
      <c r="D53" s="6"/>
      <c r="E53" s="116" t="str">
        <f>Datos!D71</f>
        <v>no</v>
      </c>
      <c r="F53" s="6" t="s">
        <v>6</v>
      </c>
      <c r="G53" s="6"/>
      <c r="H53" s="6"/>
      <c r="I53" s="6"/>
      <c r="J53" s="6"/>
      <c r="K53" s="6"/>
      <c r="L53" s="6"/>
      <c r="M53" s="6"/>
      <c r="N53" s="6"/>
    </row>
    <row r="54" spans="1:14" x14ac:dyDescent="0.2">
      <c r="A54" s="6" t="s">
        <v>7</v>
      </c>
      <c r="B54" s="6"/>
      <c r="C54" s="6"/>
      <c r="D54" s="6"/>
      <c r="E54" s="6"/>
      <c r="F54" s="6"/>
      <c r="G54" s="6"/>
      <c r="H54" s="6"/>
      <c r="I54" s="6"/>
      <c r="J54" s="6"/>
      <c r="K54" s="6"/>
      <c r="L54" s="6"/>
      <c r="M54" s="6"/>
      <c r="N54" s="6"/>
    </row>
    <row r="55" spans="1:14" x14ac:dyDescent="0.2">
      <c r="A55" s="6" t="s">
        <v>711</v>
      </c>
      <c r="B55" s="6"/>
      <c r="C55" s="6"/>
      <c r="D55" s="6"/>
      <c r="E55" s="6"/>
      <c r="F55" s="6"/>
      <c r="G55" s="6"/>
      <c r="H55" s="6"/>
      <c r="I55" s="6"/>
      <c r="J55" s="6"/>
      <c r="K55" s="6"/>
      <c r="L55" s="6"/>
      <c r="M55" s="6"/>
      <c r="N55" s="6"/>
    </row>
    <row r="56" spans="1:14" x14ac:dyDescent="0.2">
      <c r="A56" s="6" t="s">
        <v>294</v>
      </c>
      <c r="B56" s="6"/>
      <c r="C56" s="6"/>
      <c r="D56" s="6"/>
      <c r="E56" s="6"/>
      <c r="F56" s="6"/>
      <c r="G56" s="6"/>
      <c r="H56" s="6"/>
      <c r="I56" s="6"/>
      <c r="J56" s="6"/>
      <c r="K56" s="6"/>
      <c r="L56" s="6"/>
      <c r="M56" s="6"/>
      <c r="N56" s="6"/>
    </row>
    <row r="57" spans="1:14" x14ac:dyDescent="0.2">
      <c r="A57" s="6" t="s">
        <v>295</v>
      </c>
      <c r="B57" s="6" t="s">
        <v>345</v>
      </c>
      <c r="C57" s="6" t="s">
        <v>333</v>
      </c>
      <c r="D57" s="181">
        <f>Datos!K38</f>
        <v>0</v>
      </c>
      <c r="E57" s="6"/>
      <c r="F57" s="6" t="s">
        <v>143</v>
      </c>
      <c r="G57" s="181">
        <f>Datos!K40</f>
        <v>0</v>
      </c>
      <c r="H57" s="6"/>
      <c r="I57" s="6"/>
      <c r="J57" s="6"/>
      <c r="K57" s="6"/>
      <c r="L57" s="6"/>
      <c r="M57" s="6"/>
      <c r="N57" s="6"/>
    </row>
    <row r="58" spans="1:14" x14ac:dyDescent="0.2">
      <c r="A58" s="20" t="s">
        <v>296</v>
      </c>
      <c r="B58" s="181">
        <f>Datos!K41</f>
        <v>0</v>
      </c>
      <c r="C58" s="6" t="s">
        <v>189</v>
      </c>
      <c r="D58" s="6"/>
      <c r="E58" s="6"/>
      <c r="F58" s="6"/>
      <c r="G58" s="6"/>
      <c r="H58" s="6"/>
      <c r="I58" s="6"/>
      <c r="J58" s="6"/>
      <c r="K58" s="6"/>
      <c r="L58" s="6"/>
      <c r="M58" s="6"/>
      <c r="N58" s="6"/>
    </row>
    <row r="59" spans="1:14" x14ac:dyDescent="0.2">
      <c r="A59" s="6"/>
      <c r="B59" s="6"/>
      <c r="C59" s="6"/>
      <c r="D59" s="6"/>
      <c r="E59" s="6"/>
      <c r="F59" s="6"/>
      <c r="G59" s="6"/>
      <c r="H59" s="6"/>
      <c r="I59" s="6"/>
      <c r="J59" s="6"/>
      <c r="K59" s="6"/>
      <c r="L59" s="6"/>
      <c r="M59" s="6"/>
      <c r="N59" s="6"/>
    </row>
    <row r="60" spans="1:14" x14ac:dyDescent="0.2">
      <c r="A60" s="6"/>
      <c r="B60" s="6"/>
      <c r="C60" s="6"/>
      <c r="D60" s="6"/>
      <c r="E60" s="6"/>
      <c r="F60" s="6"/>
      <c r="G60" s="6"/>
      <c r="H60" s="6"/>
      <c r="I60" s="6"/>
      <c r="J60" s="6"/>
      <c r="K60" s="6"/>
      <c r="L60" s="6"/>
      <c r="M60" s="6"/>
      <c r="N60" s="6"/>
    </row>
    <row r="61" spans="1:14" x14ac:dyDescent="0.2">
      <c r="A61" s="6"/>
      <c r="B61" s="6"/>
      <c r="C61" s="6"/>
      <c r="D61" s="6"/>
      <c r="E61" s="6"/>
      <c r="F61" s="6"/>
      <c r="G61" s="6"/>
      <c r="H61" s="6"/>
      <c r="I61" s="6"/>
      <c r="J61" s="6"/>
      <c r="K61" s="6"/>
      <c r="L61" s="6"/>
      <c r="M61" s="6"/>
      <c r="N61" s="6"/>
    </row>
    <row r="62" spans="1:14" x14ac:dyDescent="0.2">
      <c r="A62" s="6"/>
      <c r="B62" s="6"/>
      <c r="C62" s="6"/>
      <c r="D62" s="6"/>
      <c r="E62" s="6"/>
      <c r="F62" s="6"/>
      <c r="G62" s="6"/>
      <c r="H62" s="6"/>
      <c r="I62" s="6"/>
      <c r="J62" s="6"/>
      <c r="K62" s="6"/>
      <c r="L62" s="6"/>
      <c r="M62" s="6"/>
      <c r="N62" s="6"/>
    </row>
    <row r="63" spans="1:14" x14ac:dyDescent="0.2">
      <c r="A63" s="47"/>
      <c r="B63" s="47"/>
      <c r="C63" s="6"/>
      <c r="D63" s="6"/>
      <c r="E63" s="47"/>
      <c r="F63" s="47"/>
      <c r="G63" s="6"/>
      <c r="H63" s="6"/>
      <c r="I63" s="6"/>
      <c r="J63" s="6"/>
      <c r="K63" s="6"/>
      <c r="L63" s="6"/>
      <c r="M63" s="6"/>
      <c r="N63" s="6"/>
    </row>
    <row r="64" spans="1:14" x14ac:dyDescent="0.2">
      <c r="A64" s="874" t="s">
        <v>332</v>
      </c>
      <c r="B64" s="874"/>
      <c r="C64" s="6"/>
      <c r="D64" s="6"/>
      <c r="E64" s="874" t="s">
        <v>4</v>
      </c>
      <c r="F64" s="874"/>
      <c r="G64" s="6"/>
      <c r="H64" s="6"/>
      <c r="I64" s="6"/>
      <c r="J64" s="6"/>
      <c r="K64" s="6"/>
      <c r="L64" s="6"/>
      <c r="M64" s="6"/>
      <c r="N64" s="6"/>
    </row>
    <row r="65" spans="1:14" x14ac:dyDescent="0.2">
      <c r="A65" s="872">
        <f>Datos!K29</f>
        <v>0</v>
      </c>
      <c r="B65" s="872"/>
      <c r="C65" s="6"/>
      <c r="E65" s="872">
        <f>Datos!K18</f>
        <v>0</v>
      </c>
      <c r="F65" s="872"/>
      <c r="G65" s="185"/>
      <c r="H65" s="6"/>
      <c r="I65" s="6"/>
      <c r="J65" s="6"/>
      <c r="K65" s="6"/>
      <c r="L65" s="6"/>
      <c r="M65" s="6"/>
      <c r="N65" s="6"/>
    </row>
    <row r="66" spans="1:14" x14ac:dyDescent="0.2">
      <c r="A66" s="6"/>
      <c r="B66" s="6"/>
      <c r="C66" s="6"/>
      <c r="D66" s="6"/>
      <c r="E66" s="55" t="s">
        <v>334</v>
      </c>
      <c r="F66" s="186">
        <f>Datos!K26</f>
        <v>0</v>
      </c>
      <c r="G66" s="6"/>
      <c r="H66" s="6"/>
      <c r="I66" s="6"/>
      <c r="J66" s="6"/>
      <c r="K66" s="6"/>
      <c r="L66" s="6"/>
      <c r="M66" s="6"/>
      <c r="N66" s="6"/>
    </row>
    <row r="67" spans="1:14" x14ac:dyDescent="0.2">
      <c r="A67" s="6"/>
      <c r="B67" s="6"/>
      <c r="C67" s="6"/>
      <c r="D67" s="6"/>
      <c r="E67" s="6"/>
      <c r="F67" s="6"/>
      <c r="G67" s="6"/>
      <c r="H67" s="6"/>
      <c r="I67" s="6"/>
      <c r="J67" s="6"/>
      <c r="K67" s="6"/>
      <c r="L67" s="6"/>
      <c r="M67" s="6"/>
      <c r="N67" s="6"/>
    </row>
    <row r="68" spans="1:14" x14ac:dyDescent="0.2">
      <c r="A68" s="6"/>
      <c r="B68" s="6"/>
      <c r="C68" s="6"/>
      <c r="D68" s="6"/>
      <c r="E68" s="6"/>
      <c r="F68" s="6"/>
      <c r="G68" s="6"/>
      <c r="H68" s="6"/>
      <c r="I68" s="6"/>
      <c r="J68" s="6"/>
      <c r="K68" s="6"/>
      <c r="L68" s="6"/>
      <c r="M68" s="6"/>
      <c r="N68" s="6"/>
    </row>
    <row r="69" spans="1:14" x14ac:dyDescent="0.2">
      <c r="A69" s="6"/>
      <c r="B69" s="6"/>
      <c r="C69" s="6"/>
      <c r="D69" s="6"/>
      <c r="E69" s="6"/>
      <c r="F69" s="6"/>
      <c r="G69" s="6"/>
      <c r="H69" s="6"/>
      <c r="I69" s="6"/>
      <c r="J69" s="6"/>
      <c r="K69" s="6"/>
      <c r="L69" s="6"/>
      <c r="M69" s="6"/>
      <c r="N69" s="6"/>
    </row>
    <row r="70" spans="1:14" x14ac:dyDescent="0.2">
      <c r="A70" s="6"/>
      <c r="B70" s="6"/>
      <c r="C70" s="6"/>
      <c r="D70" s="6"/>
      <c r="E70" s="6"/>
      <c r="F70" s="6"/>
      <c r="G70" s="6"/>
      <c r="H70" s="6"/>
      <c r="I70" s="6"/>
      <c r="J70" s="6"/>
      <c r="K70" s="6"/>
      <c r="L70" s="6"/>
      <c r="M70" s="6"/>
      <c r="N70" s="6"/>
    </row>
    <row r="71" spans="1:14" x14ac:dyDescent="0.2">
      <c r="A71" s="6"/>
      <c r="B71" s="6"/>
      <c r="C71" s="6"/>
      <c r="D71" s="6"/>
      <c r="E71" s="6"/>
      <c r="F71" s="6"/>
      <c r="G71" s="6"/>
      <c r="H71" s="6"/>
      <c r="I71" s="6"/>
      <c r="J71" s="6"/>
      <c r="K71" s="6"/>
      <c r="L71" s="6"/>
      <c r="M71" s="6"/>
      <c r="N71" s="6"/>
    </row>
    <row r="72" spans="1:14" x14ac:dyDescent="0.2">
      <c r="A72" s="6"/>
      <c r="B72" s="6"/>
      <c r="C72" s="6"/>
      <c r="D72" s="6"/>
      <c r="E72" s="6"/>
      <c r="F72" s="6"/>
      <c r="G72" s="6"/>
      <c r="H72" s="6"/>
      <c r="I72" s="6"/>
      <c r="J72" s="6"/>
      <c r="K72" s="6"/>
      <c r="L72" s="6"/>
      <c r="M72" s="6"/>
      <c r="N72" s="6"/>
    </row>
    <row r="73" spans="1:14" x14ac:dyDescent="0.2">
      <c r="A73" s="6"/>
      <c r="B73" s="6"/>
      <c r="C73" s="6"/>
      <c r="D73" s="6"/>
      <c r="E73" s="6"/>
      <c r="F73" s="6"/>
      <c r="G73" s="6"/>
      <c r="H73" s="6"/>
      <c r="I73" s="6"/>
      <c r="J73" s="6"/>
      <c r="K73" s="6"/>
      <c r="L73" s="6"/>
      <c r="M73" s="6"/>
      <c r="N73" s="6"/>
    </row>
    <row r="74" spans="1:14" x14ac:dyDescent="0.2">
      <c r="A74" s="6"/>
      <c r="B74" s="6"/>
      <c r="C74" s="6"/>
      <c r="D74" s="6"/>
      <c r="E74" s="6"/>
      <c r="F74" s="6"/>
      <c r="G74" s="6"/>
      <c r="H74" s="6"/>
      <c r="I74" s="6"/>
      <c r="J74" s="6"/>
      <c r="K74" s="6"/>
      <c r="L74" s="6"/>
      <c r="M74" s="6"/>
      <c r="N74" s="6"/>
    </row>
    <row r="75" spans="1:14" x14ac:dyDescent="0.2">
      <c r="A75" s="6"/>
      <c r="B75" s="6"/>
      <c r="C75" s="6"/>
      <c r="D75" s="6"/>
      <c r="E75" s="6"/>
      <c r="F75" s="6"/>
      <c r="G75" s="6"/>
      <c r="H75" s="6"/>
      <c r="I75" s="6"/>
      <c r="J75" s="6"/>
      <c r="K75" s="6"/>
      <c r="L75" s="6"/>
      <c r="M75" s="6"/>
      <c r="N75" s="6"/>
    </row>
    <row r="76" spans="1:14" x14ac:dyDescent="0.2">
      <c r="A76" s="6"/>
      <c r="B76" s="6"/>
      <c r="C76" s="6"/>
      <c r="D76" s="6"/>
      <c r="E76" s="6"/>
      <c r="F76" s="6"/>
      <c r="G76" s="6"/>
      <c r="H76" s="6"/>
      <c r="I76" s="6"/>
      <c r="J76" s="6"/>
      <c r="K76" s="6"/>
      <c r="L76" s="6"/>
      <c r="M76" s="6"/>
      <c r="N76" s="6"/>
    </row>
    <row r="77" spans="1:14" x14ac:dyDescent="0.2">
      <c r="A77" s="6"/>
      <c r="B77" s="6"/>
      <c r="C77" s="6"/>
      <c r="D77" s="6"/>
      <c r="E77" s="6"/>
      <c r="F77" s="6"/>
      <c r="G77" s="6"/>
      <c r="H77" s="6"/>
      <c r="I77" s="6"/>
      <c r="J77" s="6"/>
      <c r="K77" s="6"/>
      <c r="L77" s="6"/>
      <c r="M77" s="6"/>
      <c r="N77" s="6"/>
    </row>
    <row r="78" spans="1:14" x14ac:dyDescent="0.2">
      <c r="A78" s="6"/>
      <c r="B78" s="6"/>
      <c r="C78" s="6"/>
      <c r="D78" s="6"/>
      <c r="E78" s="6"/>
      <c r="F78" s="6"/>
      <c r="G78" s="6"/>
      <c r="H78" s="6"/>
      <c r="I78" s="6"/>
      <c r="J78" s="6"/>
      <c r="K78" s="6"/>
      <c r="L78" s="6"/>
      <c r="M78" s="6"/>
      <c r="N78" s="6"/>
    </row>
    <row r="79" spans="1:14" x14ac:dyDescent="0.2">
      <c r="A79" s="6"/>
      <c r="B79" s="6"/>
      <c r="C79" s="6"/>
      <c r="D79" s="6"/>
      <c r="E79" s="6"/>
      <c r="F79" s="6"/>
      <c r="G79" s="6"/>
      <c r="H79" s="6"/>
      <c r="I79" s="6"/>
      <c r="J79" s="6"/>
      <c r="K79" s="6"/>
      <c r="L79" s="6"/>
      <c r="M79" s="6"/>
      <c r="N79" s="6"/>
    </row>
    <row r="80" spans="1:14" x14ac:dyDescent="0.2">
      <c r="A80" s="6"/>
      <c r="B80" s="6"/>
      <c r="C80" s="6"/>
      <c r="D80" s="6"/>
      <c r="E80" s="6"/>
      <c r="F80" s="6"/>
      <c r="G80" s="6"/>
      <c r="H80" s="6"/>
      <c r="I80" s="6"/>
      <c r="J80" s="6"/>
      <c r="K80" s="6"/>
      <c r="L80" s="6"/>
      <c r="M80" s="6"/>
      <c r="N80" s="6"/>
    </row>
    <row r="81" spans="1:14" x14ac:dyDescent="0.2">
      <c r="A81" s="6"/>
      <c r="B81" s="6"/>
      <c r="C81" s="6"/>
      <c r="D81" s="6"/>
      <c r="E81" s="6"/>
      <c r="F81" s="6"/>
      <c r="G81" s="6"/>
      <c r="H81" s="6"/>
      <c r="I81" s="6"/>
      <c r="J81" s="6"/>
      <c r="K81" s="6"/>
      <c r="L81" s="6"/>
      <c r="M81" s="6"/>
      <c r="N81" s="6"/>
    </row>
    <row r="82" spans="1:14" x14ac:dyDescent="0.2">
      <c r="A82" s="6"/>
      <c r="B82" s="6"/>
      <c r="C82" s="6"/>
      <c r="D82" s="6"/>
      <c r="E82" s="6"/>
      <c r="F82" s="6"/>
      <c r="G82" s="6"/>
      <c r="H82" s="6"/>
      <c r="I82" s="6"/>
      <c r="J82" s="6"/>
      <c r="K82" s="6"/>
      <c r="L82" s="6"/>
      <c r="M82" s="6"/>
      <c r="N82" s="6"/>
    </row>
    <row r="83" spans="1:14" x14ac:dyDescent="0.2">
      <c r="A83" s="6"/>
      <c r="B83" s="6"/>
      <c r="C83" s="6"/>
      <c r="D83" s="6"/>
      <c r="E83" s="6"/>
      <c r="F83" s="6"/>
      <c r="G83" s="6"/>
      <c r="H83" s="6"/>
      <c r="I83" s="6"/>
      <c r="J83" s="6"/>
      <c r="K83" s="6"/>
      <c r="L83" s="6"/>
      <c r="M83" s="6"/>
      <c r="N83" s="6"/>
    </row>
    <row r="84" spans="1:14" x14ac:dyDescent="0.2">
      <c r="A84" s="6"/>
      <c r="B84" s="6"/>
      <c r="C84" s="6"/>
      <c r="D84" s="6"/>
      <c r="E84" s="6"/>
      <c r="F84" s="6"/>
      <c r="G84" s="6"/>
      <c r="H84" s="6"/>
      <c r="I84" s="6"/>
      <c r="J84" s="6"/>
      <c r="K84" s="6"/>
      <c r="L84" s="6"/>
      <c r="M84" s="6"/>
      <c r="N84" s="6"/>
    </row>
    <row r="85" spans="1:14" x14ac:dyDescent="0.2">
      <c r="A85" s="6"/>
      <c r="B85" s="6"/>
      <c r="C85" s="6"/>
      <c r="D85" s="6"/>
      <c r="E85" s="6"/>
      <c r="F85" s="6"/>
      <c r="G85" s="6"/>
      <c r="H85" s="6"/>
      <c r="I85" s="6"/>
      <c r="J85" s="6"/>
      <c r="K85" s="6"/>
      <c r="L85" s="6"/>
      <c r="M85" s="6"/>
      <c r="N85" s="6"/>
    </row>
    <row r="86" spans="1:14" x14ac:dyDescent="0.2">
      <c r="A86" s="6"/>
      <c r="B86" s="6"/>
      <c r="C86" s="6"/>
      <c r="D86" s="6"/>
      <c r="E86" s="6"/>
      <c r="F86" s="6"/>
      <c r="G86" s="6"/>
      <c r="H86" s="6"/>
      <c r="I86" s="6"/>
      <c r="J86" s="6"/>
      <c r="K86" s="6"/>
      <c r="L86" s="6"/>
      <c r="M86" s="6"/>
      <c r="N86" s="6"/>
    </row>
    <row r="87" spans="1:14" x14ac:dyDescent="0.2">
      <c r="A87" s="6"/>
      <c r="B87" s="6"/>
      <c r="C87" s="6"/>
      <c r="D87" s="6"/>
      <c r="E87" s="6"/>
      <c r="F87" s="6"/>
      <c r="G87" s="6"/>
      <c r="H87" s="6"/>
      <c r="I87" s="6"/>
      <c r="J87" s="6"/>
      <c r="K87" s="6"/>
      <c r="L87" s="6"/>
      <c r="M87" s="6"/>
      <c r="N87" s="6"/>
    </row>
    <row r="88" spans="1:14" x14ac:dyDescent="0.2">
      <c r="A88" s="6"/>
      <c r="B88" s="6"/>
      <c r="C88" s="6"/>
      <c r="D88" s="6"/>
      <c r="E88" s="6"/>
      <c r="F88" s="6"/>
      <c r="G88" s="6"/>
      <c r="H88" s="6"/>
      <c r="I88" s="6"/>
      <c r="J88" s="6"/>
      <c r="K88" s="6"/>
      <c r="L88" s="6"/>
      <c r="M88" s="6"/>
      <c r="N88" s="6"/>
    </row>
    <row r="89" spans="1:14" x14ac:dyDescent="0.2">
      <c r="A89" s="6"/>
      <c r="B89" s="6"/>
      <c r="C89" s="6"/>
      <c r="D89" s="6"/>
      <c r="E89" s="6"/>
      <c r="F89" s="6"/>
      <c r="G89" s="6"/>
      <c r="H89" s="6"/>
      <c r="I89" s="6"/>
      <c r="J89" s="6"/>
      <c r="K89" s="6"/>
      <c r="L89" s="6"/>
      <c r="M89" s="6"/>
      <c r="N89" s="6"/>
    </row>
    <row r="90" spans="1:14" x14ac:dyDescent="0.2">
      <c r="A90" s="6"/>
      <c r="B90" s="6"/>
      <c r="C90" s="6"/>
      <c r="D90" s="6"/>
      <c r="E90" s="6"/>
      <c r="F90" s="6"/>
      <c r="G90" s="6"/>
      <c r="H90" s="6"/>
      <c r="I90" s="6"/>
      <c r="J90" s="6"/>
      <c r="K90" s="6"/>
      <c r="L90" s="6"/>
      <c r="M90" s="6"/>
      <c r="N90" s="6"/>
    </row>
    <row r="91" spans="1:14" x14ac:dyDescent="0.2">
      <c r="A91" s="6"/>
      <c r="B91" s="6"/>
      <c r="C91" s="6"/>
      <c r="D91" s="6"/>
      <c r="E91" s="6"/>
      <c r="F91" s="6"/>
      <c r="G91" s="6"/>
      <c r="H91" s="6"/>
      <c r="I91" s="6"/>
      <c r="J91" s="6"/>
      <c r="K91" s="6"/>
      <c r="L91" s="6"/>
      <c r="M91" s="6"/>
      <c r="N91" s="6"/>
    </row>
    <row r="92" spans="1:14" x14ac:dyDescent="0.2">
      <c r="A92" s="6"/>
      <c r="B92" s="6"/>
      <c r="C92" s="6"/>
      <c r="D92" s="6"/>
      <c r="E92" s="6"/>
      <c r="F92" s="6"/>
      <c r="G92" s="6"/>
      <c r="H92" s="6"/>
      <c r="I92" s="6"/>
      <c r="J92" s="6"/>
      <c r="K92" s="6"/>
      <c r="L92" s="6"/>
      <c r="M92" s="6"/>
      <c r="N92" s="6"/>
    </row>
    <row r="93" spans="1:14" x14ac:dyDescent="0.2">
      <c r="A93" s="6"/>
      <c r="B93" s="6"/>
      <c r="C93" s="6"/>
      <c r="D93" s="6"/>
      <c r="E93" s="6"/>
      <c r="F93" s="6"/>
      <c r="G93" s="6"/>
      <c r="H93" s="6"/>
      <c r="I93" s="6"/>
      <c r="J93" s="6"/>
      <c r="K93" s="6"/>
      <c r="L93" s="6"/>
      <c r="M93" s="6"/>
      <c r="N93" s="6"/>
    </row>
    <row r="94" spans="1:14" x14ac:dyDescent="0.2">
      <c r="A94" s="6"/>
      <c r="B94" s="6"/>
      <c r="C94" s="6"/>
      <c r="D94" s="6"/>
      <c r="E94" s="6"/>
      <c r="F94" s="6"/>
      <c r="G94" s="6"/>
      <c r="H94" s="6"/>
      <c r="I94" s="6"/>
      <c r="J94" s="6"/>
      <c r="K94" s="6"/>
      <c r="L94" s="6"/>
      <c r="M94" s="6"/>
      <c r="N94" s="6"/>
    </row>
    <row r="95" spans="1:14" x14ac:dyDescent="0.2">
      <c r="A95" s="6"/>
      <c r="B95" s="6"/>
      <c r="C95" s="6"/>
      <c r="D95" s="6"/>
      <c r="E95" s="6"/>
      <c r="F95" s="6"/>
      <c r="G95" s="6"/>
      <c r="H95" s="6"/>
      <c r="I95" s="6"/>
      <c r="J95" s="6"/>
      <c r="K95" s="6"/>
      <c r="L95" s="6"/>
      <c r="M95" s="6"/>
      <c r="N95" s="6"/>
    </row>
    <row r="96" spans="1:14" x14ac:dyDescent="0.2">
      <c r="A96" s="6"/>
      <c r="B96" s="6"/>
      <c r="C96" s="6"/>
      <c r="D96" s="6"/>
      <c r="E96" s="6"/>
      <c r="F96" s="6"/>
      <c r="G96" s="6"/>
      <c r="H96" s="6"/>
      <c r="I96" s="6"/>
      <c r="J96" s="6"/>
      <c r="K96" s="6"/>
      <c r="L96" s="6"/>
      <c r="M96" s="6"/>
      <c r="N96" s="6"/>
    </row>
    <row r="97" spans="1:14" x14ac:dyDescent="0.2">
      <c r="A97" s="6"/>
      <c r="B97" s="6"/>
      <c r="C97" s="6"/>
      <c r="D97" s="6"/>
      <c r="E97" s="6"/>
      <c r="F97" s="6"/>
      <c r="G97" s="6"/>
      <c r="H97" s="6"/>
      <c r="I97" s="6"/>
      <c r="J97" s="6"/>
      <c r="K97" s="6"/>
      <c r="L97" s="6"/>
      <c r="M97" s="6"/>
      <c r="N97" s="6"/>
    </row>
    <row r="98" spans="1:14" x14ac:dyDescent="0.2">
      <c r="A98" s="6"/>
      <c r="B98" s="6"/>
      <c r="C98" s="6"/>
      <c r="D98" s="6"/>
      <c r="E98" s="6"/>
      <c r="F98" s="6"/>
      <c r="G98" s="6"/>
      <c r="H98" s="6"/>
      <c r="I98" s="6"/>
      <c r="J98" s="6"/>
      <c r="K98" s="6"/>
      <c r="L98" s="6"/>
      <c r="M98" s="6"/>
      <c r="N98" s="6"/>
    </row>
    <row r="99" spans="1:14" x14ac:dyDescent="0.2">
      <c r="A99" s="6"/>
      <c r="B99" s="6"/>
      <c r="C99" s="6"/>
      <c r="D99" s="6"/>
      <c r="E99" s="6"/>
      <c r="F99" s="6"/>
      <c r="G99" s="6"/>
      <c r="H99" s="6"/>
      <c r="I99" s="6"/>
      <c r="J99" s="6"/>
      <c r="K99" s="6"/>
      <c r="L99" s="6"/>
      <c r="M99" s="6"/>
      <c r="N99" s="6"/>
    </row>
  </sheetData>
  <sheetProtection password="952A" sheet="1" objects="1" scenarios="1" selectLockedCells="1"/>
  <customSheetViews>
    <customSheetView guid="{3DA56FC4-53DE-48E1-9C8B-99A7C6BEC59A}" showRuler="0">
      <selection activeCell="E21" sqref="E21"/>
      <pageMargins left="0.98425196850393704" right="0.59055118110236227" top="0.98425196850393704" bottom="0.98425196850393704" header="0" footer="0"/>
      <pageSetup paperSize="5" scale="98" orientation="portrait" horizontalDpi="300" verticalDpi="0" r:id="rId1"/>
      <headerFooter alignWithMargins="0"/>
    </customSheetView>
    <customSheetView guid="{3055A696-E36D-42C0-8DEA-BCF75BC71F7B}" topLeftCell="A10">
      <selection activeCell="G19" sqref="G19"/>
      <pageMargins left="0.98425196850393704" right="0.59055118110236227" top="0.98425196850393704" bottom="0.98425196850393704" header="0" footer="0"/>
      <pageSetup paperSize="5" scale="98" orientation="portrait" horizontalDpi="300" verticalDpi="1200" r:id="rId2"/>
      <headerFooter alignWithMargins="0"/>
    </customSheetView>
  </customSheetViews>
  <mergeCells count="6">
    <mergeCell ref="E65:F65"/>
    <mergeCell ref="A65:B65"/>
    <mergeCell ref="B1:G1"/>
    <mergeCell ref="A64:B64"/>
    <mergeCell ref="E64:F64"/>
    <mergeCell ref="B2:G2"/>
  </mergeCells>
  <phoneticPr fontId="20" type="noConversion"/>
  <pageMargins left="0.98425196850393704" right="0.59055118110236227" top="0.98425196850393704" bottom="0.98425196850393704" header="0" footer="0"/>
  <pageSetup paperSize="5" scale="98" orientation="portrait" horizontalDpi="300"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
  <dimension ref="A1:AB56"/>
  <sheetViews>
    <sheetView topLeftCell="A16" workbookViewId="0">
      <selection activeCell="H48" sqref="H48"/>
    </sheetView>
  </sheetViews>
  <sheetFormatPr baseColWidth="10" defaultRowHeight="12.75" x14ac:dyDescent="0.2"/>
  <cols>
    <col min="4" max="4" width="18.42578125" customWidth="1"/>
    <col min="5" max="5" width="28.28515625" customWidth="1"/>
    <col min="19" max="19" width="17.28515625" bestFit="1" customWidth="1"/>
  </cols>
  <sheetData>
    <row r="1" spans="1:28" x14ac:dyDescent="0.2">
      <c r="A1" s="700"/>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row>
    <row r="2" spans="1:28" x14ac:dyDescent="0.2">
      <c r="A2" s="700"/>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row>
    <row r="3" spans="1:28" x14ac:dyDescent="0.2">
      <c r="A3" s="700"/>
      <c r="B3" s="700"/>
      <c r="C3" s="700"/>
      <c r="D3" s="700" t="s">
        <v>15</v>
      </c>
      <c r="E3" s="774">
        <f>Datos!H129</f>
        <v>0</v>
      </c>
      <c r="F3" s="700" t="str">
        <f>TRIM(B15)</f>
        <v>CERO CON 00/100</v>
      </c>
      <c r="G3" s="700"/>
      <c r="H3" s="700"/>
      <c r="I3" s="700"/>
      <c r="J3" s="700"/>
      <c r="K3" s="700"/>
      <c r="L3" s="700"/>
      <c r="M3" s="700"/>
      <c r="N3" s="700"/>
      <c r="O3" s="700"/>
      <c r="P3" s="700"/>
      <c r="Q3" s="700"/>
      <c r="R3" s="700" t="s">
        <v>15</v>
      </c>
      <c r="S3" s="774">
        <f>Datos!K153</f>
        <v>0</v>
      </c>
      <c r="T3" s="700" t="str">
        <f>TRIM(P15)</f>
        <v>CERO CON 00/100</v>
      </c>
      <c r="U3" s="700"/>
      <c r="V3" s="700"/>
      <c r="W3" s="700"/>
      <c r="X3" s="700"/>
      <c r="Y3" s="700"/>
      <c r="Z3" s="700"/>
      <c r="AA3" s="700"/>
      <c r="AB3" s="700"/>
    </row>
    <row r="4" spans="1:28" x14ac:dyDescent="0.2">
      <c r="A4" s="700"/>
      <c r="B4" s="700"/>
      <c r="C4" s="700"/>
      <c r="D4" s="700" t="s">
        <v>505</v>
      </c>
      <c r="E4" s="774">
        <f>INT(E3)</f>
        <v>0</v>
      </c>
      <c r="F4" s="700"/>
      <c r="G4" s="700"/>
      <c r="H4" s="700"/>
      <c r="I4" s="700"/>
      <c r="J4" s="700"/>
      <c r="K4" s="700"/>
      <c r="L4" s="700"/>
      <c r="M4" s="700"/>
      <c r="N4" s="700"/>
      <c r="O4" s="700"/>
      <c r="P4" s="700"/>
      <c r="Q4" s="700"/>
      <c r="R4" s="700" t="s">
        <v>505</v>
      </c>
      <c r="S4" s="774">
        <f>INT(S3)</f>
        <v>0</v>
      </c>
      <c r="T4" s="700"/>
      <c r="U4" s="700"/>
      <c r="V4" s="700"/>
      <c r="W4" s="700"/>
      <c r="X4" s="700"/>
      <c r="Y4" s="700"/>
      <c r="Z4" s="700"/>
      <c r="AA4" s="700"/>
      <c r="AB4" s="700"/>
    </row>
    <row r="5" spans="1:28" x14ac:dyDescent="0.2">
      <c r="A5" s="700"/>
      <c r="B5" s="700"/>
      <c r="C5" s="700"/>
      <c r="D5" s="700" t="s">
        <v>506</v>
      </c>
      <c r="E5" s="700" t="str">
        <f>IF((E3-E4)=0,"00",ROUND((E3-E4)*100,2))</f>
        <v>00</v>
      </c>
      <c r="F5" s="773"/>
      <c r="G5" s="700"/>
      <c r="H5" s="700"/>
      <c r="I5" s="700"/>
      <c r="J5" s="700"/>
      <c r="K5" s="700"/>
      <c r="L5" s="700"/>
      <c r="M5" s="700"/>
      <c r="N5" s="700"/>
      <c r="O5" s="700"/>
      <c r="P5" s="700"/>
      <c r="Q5" s="700"/>
      <c r="R5" s="700" t="s">
        <v>506</v>
      </c>
      <c r="S5" s="700" t="str">
        <f>IF((S3-S4)=0,"00",ROUND((S3-S4)*100,2))</f>
        <v>00</v>
      </c>
      <c r="T5" s="773"/>
      <c r="U5" s="700"/>
      <c r="V5" s="700"/>
      <c r="W5" s="700"/>
      <c r="X5" s="700"/>
      <c r="Y5" s="700"/>
      <c r="Z5" s="700"/>
      <c r="AA5" s="700"/>
      <c r="AB5" s="700"/>
    </row>
    <row r="6" spans="1:28" x14ac:dyDescent="0.2">
      <c r="A6" s="700"/>
      <c r="B6" s="700"/>
      <c r="C6" s="700"/>
      <c r="D6" s="700" t="s">
        <v>507</v>
      </c>
      <c r="E6" s="711"/>
      <c r="F6" s="700"/>
      <c r="G6" s="700"/>
      <c r="H6" s="700"/>
      <c r="I6" s="700"/>
      <c r="J6" s="700"/>
      <c r="K6" s="700"/>
      <c r="L6" s="700"/>
      <c r="M6" s="700"/>
      <c r="N6" s="700"/>
      <c r="O6" s="700"/>
      <c r="P6" s="700"/>
      <c r="Q6" s="700"/>
      <c r="R6" s="700" t="s">
        <v>507</v>
      </c>
      <c r="S6" s="711"/>
      <c r="T6" s="700"/>
      <c r="U6" s="700"/>
      <c r="V6" s="700"/>
      <c r="W6" s="700"/>
      <c r="X6" s="700"/>
      <c r="Y6" s="700"/>
      <c r="Z6" s="700"/>
      <c r="AA6" s="700"/>
      <c r="AB6" s="700"/>
    </row>
    <row r="7" spans="1:28" x14ac:dyDescent="0.2">
      <c r="A7" s="700"/>
      <c r="B7" s="700"/>
      <c r="C7" s="700"/>
      <c r="D7" s="700"/>
      <c r="E7" s="700"/>
      <c r="F7" s="700"/>
      <c r="G7" s="700"/>
      <c r="H7" s="700"/>
      <c r="I7" s="700"/>
      <c r="J7" s="700"/>
      <c r="K7" s="700"/>
      <c r="L7" s="700"/>
      <c r="M7" s="700"/>
      <c r="N7" s="700"/>
      <c r="O7" s="700"/>
      <c r="P7" s="700"/>
      <c r="Q7" s="700"/>
      <c r="R7" s="700"/>
      <c r="S7" s="700"/>
      <c r="T7" s="700"/>
      <c r="U7" s="700"/>
      <c r="V7" s="700"/>
      <c r="W7" s="700"/>
      <c r="X7" s="700"/>
      <c r="Y7" s="700"/>
      <c r="Z7" s="700"/>
      <c r="AA7" s="700"/>
      <c r="AB7" s="700"/>
    </row>
    <row r="8" spans="1:28" x14ac:dyDescent="0.2">
      <c r="A8" s="700" t="s">
        <v>508</v>
      </c>
      <c r="B8" s="700">
        <f>INT(E3/1000000)</f>
        <v>0</v>
      </c>
      <c r="C8" s="700"/>
      <c r="D8" s="700"/>
      <c r="E8" s="700" t="s">
        <v>509</v>
      </c>
      <c r="F8" s="700">
        <f>INT(MOD(E4/1000,1000))</f>
        <v>0</v>
      </c>
      <c r="G8" s="700"/>
      <c r="H8" s="700"/>
      <c r="I8" s="700" t="s">
        <v>510</v>
      </c>
      <c r="J8" s="700">
        <f>MOD(E4,1000)</f>
        <v>0</v>
      </c>
      <c r="K8" s="700"/>
      <c r="L8" s="700"/>
      <c r="M8" s="700"/>
      <c r="N8" s="700"/>
      <c r="O8" s="700" t="s">
        <v>508</v>
      </c>
      <c r="P8" s="700">
        <f>INT(S3/1000000)</f>
        <v>0</v>
      </c>
      <c r="Q8" s="700"/>
      <c r="R8" s="700"/>
      <c r="S8" s="700" t="s">
        <v>509</v>
      </c>
      <c r="T8" s="700">
        <f>INT(MOD(S4/1000,1000))</f>
        <v>0</v>
      </c>
      <c r="U8" s="700"/>
      <c r="V8" s="700"/>
      <c r="W8" s="700" t="s">
        <v>510</v>
      </c>
      <c r="X8" s="700">
        <f>MOD(S4,1000)</f>
        <v>0</v>
      </c>
      <c r="Y8" s="700"/>
      <c r="Z8" s="700"/>
      <c r="AA8" s="700"/>
      <c r="AB8" s="700"/>
    </row>
    <row r="9" spans="1:28" x14ac:dyDescent="0.2">
      <c r="A9" s="700"/>
      <c r="B9" s="700"/>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row>
    <row r="10" spans="1:28" x14ac:dyDescent="0.2">
      <c r="A10" s="700" t="s">
        <v>510</v>
      </c>
      <c r="B10" s="700">
        <f>B8</f>
        <v>0</v>
      </c>
      <c r="C10" s="700" t="str">
        <f>VLOOKUP(B10,$A$18:$B$28,2,1)</f>
        <v xml:space="preserve"> </v>
      </c>
      <c r="D10" s="700"/>
      <c r="E10" s="700" t="s">
        <v>510</v>
      </c>
      <c r="F10" s="700">
        <f>F8</f>
        <v>0</v>
      </c>
      <c r="G10" s="700" t="str">
        <f>VLOOKUP(F10,$A$18:$B$28,2,1)</f>
        <v xml:space="preserve"> </v>
      </c>
      <c r="H10" s="700"/>
      <c r="I10" s="700" t="s">
        <v>510</v>
      </c>
      <c r="J10" s="700">
        <f>J8</f>
        <v>0</v>
      </c>
      <c r="K10" s="700" t="str">
        <f>VLOOKUP(J10,$A$18:$B$28,2,1)</f>
        <v xml:space="preserve"> </v>
      </c>
      <c r="L10" s="700"/>
      <c r="M10" s="700"/>
      <c r="N10" s="700"/>
      <c r="O10" s="700" t="s">
        <v>510</v>
      </c>
      <c r="P10" s="700">
        <f>P8</f>
        <v>0</v>
      </c>
      <c r="Q10" s="700" t="str">
        <f>VLOOKUP(P10,$A$18:$B$28,2,1)</f>
        <v xml:space="preserve"> </v>
      </c>
      <c r="R10" s="700"/>
      <c r="S10" s="700" t="s">
        <v>510</v>
      </c>
      <c r="T10" s="700">
        <f>T8</f>
        <v>0</v>
      </c>
      <c r="U10" s="700" t="str">
        <f>VLOOKUP(T10,$A$18:$B$28,2,1)</f>
        <v xml:space="preserve"> </v>
      </c>
      <c r="V10" s="700"/>
      <c r="W10" s="700" t="s">
        <v>510</v>
      </c>
      <c r="X10" s="700">
        <f>X8</f>
        <v>0</v>
      </c>
      <c r="Y10" s="700" t="str">
        <f>VLOOKUP(X10,$A$18:$B$28,2,1)</f>
        <v xml:space="preserve"> </v>
      </c>
      <c r="Z10" s="700"/>
      <c r="AA10" s="700"/>
      <c r="AB10" s="700"/>
    </row>
    <row r="11" spans="1:28" x14ac:dyDescent="0.2">
      <c r="A11" s="700" t="s">
        <v>511</v>
      </c>
      <c r="B11" s="700">
        <f>MOD(B8,100)</f>
        <v>0</v>
      </c>
      <c r="C11" s="700" t="str">
        <f>VLOOKUP(B11,$E$18:$G$34,2,1)</f>
        <v xml:space="preserve"> </v>
      </c>
      <c r="D11" s="700" t="str">
        <f>IF(AND(B11&gt;29,B12&lt;&gt;0)," Y ","")</f>
        <v/>
      </c>
      <c r="E11" s="700" t="s">
        <v>512</v>
      </c>
      <c r="F11" s="700">
        <f>MOD(F8,100)</f>
        <v>0</v>
      </c>
      <c r="G11" s="700" t="str">
        <f>VLOOKUP(F11,$E$18:$F$34,2,1)</f>
        <v xml:space="preserve"> </v>
      </c>
      <c r="H11" s="700" t="str">
        <f>IF(AND(F11&gt;29,F12&lt;&gt;0)," Y ","")</f>
        <v/>
      </c>
      <c r="I11" s="700" t="s">
        <v>512</v>
      </c>
      <c r="J11" s="700">
        <f>MOD(J8,100)</f>
        <v>0</v>
      </c>
      <c r="K11" s="700" t="str">
        <f>VLOOKUP(J11,$E$18:$F$34,2,1)</f>
        <v xml:space="preserve"> </v>
      </c>
      <c r="L11" s="700" t="str">
        <f>IF(AND(J11&gt;29,J12&lt;&gt;0)," Y ","")</f>
        <v/>
      </c>
      <c r="M11" s="700"/>
      <c r="N11" s="700"/>
      <c r="O11" s="700" t="s">
        <v>511</v>
      </c>
      <c r="P11" s="700">
        <f>MOD(P8,100)</f>
        <v>0</v>
      </c>
      <c r="Q11" s="700" t="str">
        <f>VLOOKUP(P11,$E$18:$G$34,2,1)</f>
        <v xml:space="preserve"> </v>
      </c>
      <c r="R11" s="700" t="str">
        <f>IF(AND(P11&gt;29,P12&lt;&gt;0)," Y ","")</f>
        <v/>
      </c>
      <c r="S11" s="700" t="s">
        <v>512</v>
      </c>
      <c r="T11" s="700">
        <f>MOD(T8,100)</f>
        <v>0</v>
      </c>
      <c r="U11" s="700" t="str">
        <f>VLOOKUP(T11,$E$18:$F$34,2,1)</f>
        <v xml:space="preserve"> </v>
      </c>
      <c r="V11" s="700" t="str">
        <f>IF(AND(T11&gt;29,T12&lt;&gt;0)," Y ","")</f>
        <v/>
      </c>
      <c r="W11" s="700" t="s">
        <v>512</v>
      </c>
      <c r="X11" s="700">
        <f>MOD(X8,100)</f>
        <v>0</v>
      </c>
      <c r="Y11" s="700" t="str">
        <f>VLOOKUP(X11,$E$18:$F$34,2,1)</f>
        <v xml:space="preserve"> </v>
      </c>
      <c r="Z11" s="700" t="str">
        <f>IF(AND(X11&gt;29,X12&lt;&gt;0)," Y ","")</f>
        <v/>
      </c>
      <c r="AA11" s="700"/>
      <c r="AB11" s="700"/>
    </row>
    <row r="12" spans="1:28" x14ac:dyDescent="0.2">
      <c r="A12" s="700" t="s">
        <v>513</v>
      </c>
      <c r="B12" s="700">
        <f>MOD(B11,10)</f>
        <v>0</v>
      </c>
      <c r="C12" s="700" t="str">
        <f>IF((B11&lt;10)+(B11&gt;15),VLOOKUP(B12,$J$18:$L$27,3,0),"")</f>
        <v xml:space="preserve"> </v>
      </c>
      <c r="D12" s="700"/>
      <c r="E12" s="700" t="s">
        <v>513</v>
      </c>
      <c r="F12" s="700">
        <f>MOD(F11,10)</f>
        <v>0</v>
      </c>
      <c r="G12" s="700" t="str">
        <f>IF(((F11&lt;10)+(F11&gt;15))*(F8&lt;&gt;1),VLOOKUP(F12,$J$18:$L$27,3,0),"")</f>
        <v xml:space="preserve"> </v>
      </c>
      <c r="H12" s="700"/>
      <c r="I12" s="700" t="s">
        <v>513</v>
      </c>
      <c r="J12" s="700">
        <f>MOD(J11,10)</f>
        <v>0</v>
      </c>
      <c r="K12" s="700" t="str">
        <f>IF((J11&lt;10)+(J11&gt;15),VLOOKUP(J12,$J$18:$K$27,2,0),"")</f>
        <v xml:space="preserve"> </v>
      </c>
      <c r="L12" s="700"/>
      <c r="M12" s="700"/>
      <c r="N12" s="700"/>
      <c r="O12" s="700" t="s">
        <v>513</v>
      </c>
      <c r="P12" s="700">
        <f>MOD(P11,10)</f>
        <v>0</v>
      </c>
      <c r="Q12" s="700" t="str">
        <f>IF((P11&lt;10)+(P11&gt;15),VLOOKUP(P12,$J$18:$L$27,3,0),"")</f>
        <v xml:space="preserve"> </v>
      </c>
      <c r="R12" s="700"/>
      <c r="S12" s="700" t="s">
        <v>513</v>
      </c>
      <c r="T12" s="700">
        <f>MOD(T11,10)</f>
        <v>0</v>
      </c>
      <c r="U12" s="700" t="str">
        <f>IF(((T11&lt;10)+(T11&gt;15))*(T8&lt;&gt;1),VLOOKUP(T12,$J$18:$L$27,3,0),"")</f>
        <v xml:space="preserve"> </v>
      </c>
      <c r="V12" s="700"/>
      <c r="W12" s="700" t="s">
        <v>513</v>
      </c>
      <c r="X12" s="700">
        <f>MOD(X11,10)</f>
        <v>0</v>
      </c>
      <c r="Y12" s="700" t="str">
        <f>IF((X11&lt;10)+(X11&gt;15),VLOOKUP(X12,$J$18:$K$27,2,0),"")</f>
        <v xml:space="preserve"> </v>
      </c>
      <c r="Z12" s="700"/>
      <c r="AA12" s="700"/>
      <c r="AB12" s="700"/>
    </row>
    <row r="13" spans="1:28" x14ac:dyDescent="0.2">
      <c r="A13" s="700" t="s">
        <v>514</v>
      </c>
      <c r="B13" s="700" t="str">
        <f>VLOOKUP(B8,$N$18:$O$20,2,1)</f>
        <v xml:space="preserve"> </v>
      </c>
      <c r="C13" s="700"/>
      <c r="D13" s="700"/>
      <c r="E13" s="700" t="s">
        <v>514</v>
      </c>
      <c r="F13" s="700" t="str">
        <f>IF(F8=0,"","MIL")</f>
        <v/>
      </c>
      <c r="G13" s="700"/>
      <c r="H13" s="700"/>
      <c r="I13" s="700"/>
      <c r="J13" s="700"/>
      <c r="K13" s="700"/>
      <c r="L13" s="700"/>
      <c r="M13" s="700"/>
      <c r="N13" s="700"/>
      <c r="O13" s="700" t="s">
        <v>514</v>
      </c>
      <c r="P13" s="700" t="str">
        <f>VLOOKUP(P8,$N$18:$O$20,2,1)</f>
        <v xml:space="preserve"> </v>
      </c>
      <c r="Q13" s="700"/>
      <c r="R13" s="700"/>
      <c r="S13" s="700" t="s">
        <v>514</v>
      </c>
      <c r="T13" s="700" t="str">
        <f>IF(T8=0,"","MIL")</f>
        <v/>
      </c>
      <c r="U13" s="700"/>
      <c r="V13" s="700"/>
      <c r="W13" s="700"/>
      <c r="X13" s="700"/>
      <c r="Y13" s="700"/>
      <c r="Z13" s="700"/>
      <c r="AA13" s="700"/>
      <c r="AB13" s="700"/>
    </row>
    <row r="14" spans="1:28" x14ac:dyDescent="0.2">
      <c r="A14" s="700"/>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row>
    <row r="15" spans="1:28" x14ac:dyDescent="0.2">
      <c r="A15" s="700" t="s">
        <v>515</v>
      </c>
      <c r="B15" s="700" t="str">
        <f>IF(E4=0,"CERO",C10&amp;" "&amp;C11&amp;D11&amp;C12&amp;" "&amp;B13&amp;" "&amp;G10&amp;" "&amp;G11&amp;H11&amp;G12&amp;" "&amp;F13&amp;" "&amp;K10&amp;" "&amp;K11&amp;L11&amp;K12)&amp;" CON "&amp;E5&amp;"/100 "&amp;E6</f>
        <v xml:space="preserve">CERO CON 00/100 </v>
      </c>
      <c r="C15" s="700"/>
      <c r="D15" s="700"/>
      <c r="E15" s="700"/>
      <c r="F15" s="700"/>
      <c r="G15" s="700"/>
      <c r="H15" s="700"/>
      <c r="I15" s="700"/>
      <c r="J15" s="700"/>
      <c r="K15" s="700"/>
      <c r="L15" s="700"/>
      <c r="M15" s="700"/>
      <c r="N15" s="700"/>
      <c r="O15" s="700" t="s">
        <v>515</v>
      </c>
      <c r="P15" s="700" t="str">
        <f>IF(S4=0,"CERO",Q10&amp;" "&amp;Q11&amp;R11&amp;Q12&amp;" "&amp;P13&amp;" "&amp;U10&amp;" "&amp;U11&amp;V11&amp;U12&amp;" "&amp;T13&amp;" "&amp;Y10&amp;" "&amp;Y11&amp;Z11&amp;Y12)&amp;" CON "&amp;S5&amp;"/100 "&amp;S6</f>
        <v xml:space="preserve">CERO CON 00/100 </v>
      </c>
      <c r="Q15" s="700"/>
      <c r="R15" s="700"/>
      <c r="S15" s="700"/>
      <c r="T15" s="700"/>
      <c r="U15" s="700"/>
      <c r="V15" s="700"/>
      <c r="W15" s="700"/>
      <c r="X15" s="700"/>
      <c r="Y15" s="700"/>
      <c r="Z15" s="700"/>
      <c r="AA15" s="700"/>
      <c r="AB15" s="700"/>
    </row>
    <row r="16" spans="1:28" x14ac:dyDescent="0.2">
      <c r="A16" s="700"/>
      <c r="B16" s="700"/>
      <c r="C16" s="700"/>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row>
    <row r="17" spans="1:28" x14ac:dyDescent="0.2">
      <c r="A17" s="1381" t="s">
        <v>516</v>
      </c>
      <c r="B17" s="1381"/>
      <c r="C17" s="700"/>
      <c r="D17" s="700"/>
      <c r="E17" s="1381" t="s">
        <v>517</v>
      </c>
      <c r="F17" s="1381"/>
      <c r="G17" s="700"/>
      <c r="H17" s="700"/>
      <c r="I17" s="700"/>
      <c r="J17" s="1381" t="s">
        <v>518</v>
      </c>
      <c r="K17" s="1381"/>
      <c r="L17" s="1381"/>
      <c r="M17" s="700"/>
      <c r="N17" s="1381" t="s">
        <v>519</v>
      </c>
      <c r="O17" s="1381"/>
      <c r="P17" s="700"/>
      <c r="Q17" s="700"/>
      <c r="R17" s="700"/>
      <c r="S17" s="700"/>
      <c r="T17" s="700"/>
      <c r="U17" s="700"/>
      <c r="V17" s="700"/>
      <c r="W17" s="700"/>
      <c r="X17" s="700"/>
      <c r="Y17" s="700"/>
      <c r="Z17" s="700"/>
      <c r="AA17" s="700"/>
      <c r="AB17" s="700"/>
    </row>
    <row r="18" spans="1:28" x14ac:dyDescent="0.2">
      <c r="A18" s="700">
        <v>0</v>
      </c>
      <c r="B18" s="700" t="s">
        <v>22</v>
      </c>
      <c r="C18" s="700"/>
      <c r="D18" s="700"/>
      <c r="E18" s="700">
        <v>0</v>
      </c>
      <c r="F18" s="700" t="s">
        <v>22</v>
      </c>
      <c r="G18" s="700"/>
      <c r="H18" s="700"/>
      <c r="I18" s="700"/>
      <c r="J18" s="700">
        <v>0</v>
      </c>
      <c r="K18" s="700" t="s">
        <v>22</v>
      </c>
      <c r="L18" s="700" t="s">
        <v>22</v>
      </c>
      <c r="M18" s="700"/>
      <c r="N18" s="700">
        <v>0</v>
      </c>
      <c r="O18" s="700" t="s">
        <v>22</v>
      </c>
      <c r="P18" s="700"/>
      <c r="Q18" s="700"/>
      <c r="R18" s="700"/>
      <c r="S18" s="700"/>
      <c r="T18" s="700"/>
      <c r="U18" s="700"/>
      <c r="V18" s="700"/>
      <c r="W18" s="700"/>
      <c r="X18" s="700"/>
      <c r="Y18" s="700"/>
      <c r="Z18" s="700"/>
      <c r="AA18" s="700"/>
      <c r="AB18" s="700"/>
    </row>
    <row r="19" spans="1:28" x14ac:dyDescent="0.2">
      <c r="A19" s="700">
        <v>100</v>
      </c>
      <c r="B19" s="700" t="s">
        <v>520</v>
      </c>
      <c r="C19" s="700"/>
      <c r="D19" s="700"/>
      <c r="E19" s="700">
        <v>10</v>
      </c>
      <c r="F19" s="700" t="s">
        <v>521</v>
      </c>
      <c r="G19" s="700"/>
      <c r="H19" s="700"/>
      <c r="I19" s="700"/>
      <c r="J19" s="700">
        <v>1</v>
      </c>
      <c r="K19" s="700" t="s">
        <v>522</v>
      </c>
      <c r="L19" s="700" t="s">
        <v>523</v>
      </c>
      <c r="M19" s="700"/>
      <c r="N19" s="700">
        <v>1</v>
      </c>
      <c r="O19" s="700" t="s">
        <v>524</v>
      </c>
      <c r="P19" s="700"/>
      <c r="Q19" s="700"/>
      <c r="R19" s="700"/>
      <c r="S19" s="700"/>
      <c r="T19" s="700"/>
      <c r="U19" s="700"/>
      <c r="V19" s="700"/>
      <c r="W19" s="700"/>
      <c r="X19" s="700"/>
      <c r="Y19" s="700"/>
      <c r="Z19" s="700"/>
      <c r="AA19" s="700"/>
      <c r="AB19" s="700"/>
    </row>
    <row r="20" spans="1:28" x14ac:dyDescent="0.2">
      <c r="A20" s="700">
        <v>101</v>
      </c>
      <c r="B20" s="700" t="s">
        <v>525</v>
      </c>
      <c r="C20" s="700"/>
      <c r="D20" s="700"/>
      <c r="E20" s="700">
        <v>11</v>
      </c>
      <c r="F20" s="700" t="s">
        <v>526</v>
      </c>
      <c r="G20" s="700"/>
      <c r="H20" s="700"/>
      <c r="I20" s="700"/>
      <c r="J20" s="700">
        <v>2</v>
      </c>
      <c r="K20" s="700" t="s">
        <v>527</v>
      </c>
      <c r="L20" s="700" t="s">
        <v>527</v>
      </c>
      <c r="M20" s="700"/>
      <c r="N20" s="700">
        <v>2</v>
      </c>
      <c r="O20" s="700" t="s">
        <v>508</v>
      </c>
      <c r="P20" s="700"/>
      <c r="Q20" s="700"/>
      <c r="R20" s="700"/>
      <c r="S20" s="700"/>
      <c r="T20" s="700"/>
      <c r="U20" s="700"/>
      <c r="V20" s="700"/>
      <c r="W20" s="700"/>
      <c r="X20" s="700"/>
      <c r="Y20" s="700"/>
      <c r="Z20" s="700"/>
      <c r="AA20" s="700"/>
      <c r="AB20" s="700"/>
    </row>
    <row r="21" spans="1:28" x14ac:dyDescent="0.2">
      <c r="A21" s="700">
        <v>200</v>
      </c>
      <c r="B21" s="700" t="s">
        <v>528</v>
      </c>
      <c r="C21" s="700"/>
      <c r="D21" s="700"/>
      <c r="E21" s="700">
        <v>12</v>
      </c>
      <c r="F21" s="700" t="s">
        <v>529</v>
      </c>
      <c r="G21" s="700"/>
      <c r="H21" s="700"/>
      <c r="I21" s="700"/>
      <c r="J21" s="700">
        <v>3</v>
      </c>
      <c r="K21" s="700" t="s">
        <v>530</v>
      </c>
      <c r="L21" s="700" t="s">
        <v>530</v>
      </c>
      <c r="M21" s="700"/>
      <c r="N21" s="700"/>
      <c r="O21" s="700"/>
      <c r="P21" s="700"/>
      <c r="Q21" s="700"/>
      <c r="R21" s="700"/>
      <c r="S21" s="700"/>
      <c r="T21" s="700"/>
      <c r="U21" s="700"/>
      <c r="V21" s="700"/>
      <c r="W21" s="700"/>
      <c r="X21" s="700"/>
      <c r="Y21" s="700"/>
      <c r="Z21" s="700"/>
      <c r="AA21" s="700"/>
      <c r="AB21" s="700"/>
    </row>
    <row r="22" spans="1:28" x14ac:dyDescent="0.2">
      <c r="A22" s="700">
        <v>300</v>
      </c>
      <c r="B22" s="700" t="s">
        <v>531</v>
      </c>
      <c r="C22" s="700"/>
      <c r="D22" s="700"/>
      <c r="E22" s="700">
        <v>13</v>
      </c>
      <c r="F22" s="700" t="s">
        <v>532</v>
      </c>
      <c r="G22" s="700"/>
      <c r="H22" s="700"/>
      <c r="I22" s="700"/>
      <c r="J22" s="700">
        <v>4</v>
      </c>
      <c r="K22" s="700" t="s">
        <v>533</v>
      </c>
      <c r="L22" s="700" t="s">
        <v>533</v>
      </c>
      <c r="M22" s="700"/>
      <c r="N22" s="700"/>
      <c r="O22" s="700"/>
      <c r="P22" s="700"/>
      <c r="Q22" s="700"/>
      <c r="R22" s="700"/>
      <c r="S22" s="700"/>
      <c r="T22" s="700"/>
      <c r="U22" s="700"/>
      <c r="V22" s="700"/>
      <c r="W22" s="700"/>
      <c r="X22" s="700"/>
      <c r="Y22" s="700"/>
      <c r="Z22" s="700"/>
      <c r="AA22" s="700"/>
      <c r="AB22" s="700"/>
    </row>
    <row r="23" spans="1:28" x14ac:dyDescent="0.2">
      <c r="A23" s="700">
        <v>400</v>
      </c>
      <c r="B23" s="700" t="s">
        <v>534</v>
      </c>
      <c r="C23" s="700"/>
      <c r="D23" s="700"/>
      <c r="E23" s="700">
        <v>14</v>
      </c>
      <c r="F23" s="700" t="s">
        <v>535</v>
      </c>
      <c r="G23" s="700"/>
      <c r="H23" s="700"/>
      <c r="I23" s="700"/>
      <c r="J23" s="700">
        <v>5</v>
      </c>
      <c r="K23" s="700" t="s">
        <v>536</v>
      </c>
      <c r="L23" s="700" t="s">
        <v>536</v>
      </c>
      <c r="M23" s="700"/>
      <c r="N23" s="700"/>
      <c r="O23" s="700"/>
      <c r="P23" s="700"/>
      <c r="Q23" s="700"/>
      <c r="R23" s="700" t="s">
        <v>15</v>
      </c>
      <c r="S23" s="774">
        <f>Datos!H134</f>
        <v>0</v>
      </c>
      <c r="T23" s="700" t="str">
        <f>TRIM(P35)</f>
        <v>CERO CON 00/100</v>
      </c>
      <c r="U23" s="700"/>
      <c r="V23" s="700"/>
      <c r="W23" s="700"/>
      <c r="X23" s="700"/>
      <c r="Y23" s="700"/>
      <c r="Z23" s="700"/>
      <c r="AA23" s="700"/>
      <c r="AB23" s="700"/>
    </row>
    <row r="24" spans="1:28" x14ac:dyDescent="0.2">
      <c r="A24" s="700">
        <v>500</v>
      </c>
      <c r="B24" s="700" t="s">
        <v>537</v>
      </c>
      <c r="C24" s="700"/>
      <c r="D24" s="700"/>
      <c r="E24" s="700">
        <v>15</v>
      </c>
      <c r="F24" s="700" t="s">
        <v>538</v>
      </c>
      <c r="G24" s="700"/>
      <c r="H24" s="700"/>
      <c r="I24" s="700"/>
      <c r="J24" s="700">
        <v>6</v>
      </c>
      <c r="K24" s="700" t="s">
        <v>539</v>
      </c>
      <c r="L24" s="700" t="s">
        <v>539</v>
      </c>
      <c r="M24" s="700"/>
      <c r="N24" s="700"/>
      <c r="O24" s="700"/>
      <c r="P24" s="700"/>
      <c r="Q24" s="700"/>
      <c r="R24" s="700" t="s">
        <v>505</v>
      </c>
      <c r="S24" s="774">
        <f>INT(S23)</f>
        <v>0</v>
      </c>
      <c r="T24" s="700"/>
      <c r="U24" s="700"/>
      <c r="V24" s="700"/>
      <c r="W24" s="700"/>
      <c r="X24" s="700"/>
      <c r="Y24" s="700"/>
      <c r="Z24" s="700"/>
      <c r="AA24" s="700"/>
      <c r="AB24" s="700"/>
    </row>
    <row r="25" spans="1:28" x14ac:dyDescent="0.2">
      <c r="A25" s="700">
        <v>600</v>
      </c>
      <c r="B25" s="700" t="s">
        <v>540</v>
      </c>
      <c r="C25" s="700"/>
      <c r="D25" s="700"/>
      <c r="E25" s="700">
        <v>16</v>
      </c>
      <c r="F25" s="700" t="s">
        <v>541</v>
      </c>
      <c r="G25" s="700"/>
      <c r="H25" s="700"/>
      <c r="I25" s="700"/>
      <c r="J25" s="700">
        <v>7</v>
      </c>
      <c r="K25" s="700" t="s">
        <v>542</v>
      </c>
      <c r="L25" s="700" t="s">
        <v>542</v>
      </c>
      <c r="M25" s="700"/>
      <c r="N25" s="700"/>
      <c r="O25" s="700"/>
      <c r="P25" s="700"/>
      <c r="Q25" s="700"/>
      <c r="R25" s="700" t="s">
        <v>506</v>
      </c>
      <c r="S25" s="700" t="str">
        <f>IF((S23-S24)=0,"00",ROUND((S23-S24)*100,2))</f>
        <v>00</v>
      </c>
      <c r="T25" s="773"/>
      <c r="U25" s="700"/>
      <c r="V25" s="700"/>
      <c r="W25" s="700"/>
      <c r="X25" s="700"/>
      <c r="Y25" s="700"/>
      <c r="Z25" s="700"/>
      <c r="AA25" s="700"/>
      <c r="AB25" s="700"/>
    </row>
    <row r="26" spans="1:28" x14ac:dyDescent="0.2">
      <c r="A26" s="700">
        <v>700</v>
      </c>
      <c r="B26" s="700" t="s">
        <v>543</v>
      </c>
      <c r="C26" s="700"/>
      <c r="D26" s="700"/>
      <c r="E26" s="700">
        <v>20</v>
      </c>
      <c r="F26" s="700" t="s">
        <v>544</v>
      </c>
      <c r="G26" s="700"/>
      <c r="H26" s="700"/>
      <c r="I26" s="700"/>
      <c r="J26" s="700">
        <v>8</v>
      </c>
      <c r="K26" s="700" t="s">
        <v>545</v>
      </c>
      <c r="L26" s="700" t="s">
        <v>545</v>
      </c>
      <c r="M26" s="700"/>
      <c r="N26" s="700"/>
      <c r="O26" s="700"/>
      <c r="P26" s="700"/>
      <c r="Q26" s="700"/>
      <c r="R26" s="700" t="s">
        <v>507</v>
      </c>
      <c r="S26" s="711"/>
      <c r="T26" s="700"/>
      <c r="U26" s="700"/>
      <c r="V26" s="700"/>
      <c r="W26" s="700"/>
      <c r="X26" s="700"/>
      <c r="Y26" s="700"/>
      <c r="Z26" s="700"/>
      <c r="AA26" s="700"/>
      <c r="AB26" s="700"/>
    </row>
    <row r="27" spans="1:28" x14ac:dyDescent="0.2">
      <c r="A27" s="700">
        <v>800</v>
      </c>
      <c r="B27" s="700" t="s">
        <v>546</v>
      </c>
      <c r="C27" s="700"/>
      <c r="D27" s="700"/>
      <c r="E27" s="700">
        <v>21</v>
      </c>
      <c r="F27" s="700" t="s">
        <v>547</v>
      </c>
      <c r="G27" s="700"/>
      <c r="H27" s="700"/>
      <c r="I27" s="700"/>
      <c r="J27" s="700">
        <v>9</v>
      </c>
      <c r="K27" s="700" t="s">
        <v>548</v>
      </c>
      <c r="L27" s="700" t="s">
        <v>548</v>
      </c>
      <c r="M27" s="700"/>
      <c r="N27" s="700"/>
      <c r="O27" s="700"/>
      <c r="P27" s="700"/>
      <c r="Q27" s="700"/>
      <c r="R27" s="700"/>
      <c r="S27" s="700"/>
      <c r="T27" s="700"/>
      <c r="U27" s="700"/>
      <c r="V27" s="700"/>
      <c r="W27" s="700"/>
      <c r="X27" s="700"/>
      <c r="Y27" s="700"/>
      <c r="Z27" s="700"/>
      <c r="AA27" s="700"/>
      <c r="AB27" s="700"/>
    </row>
    <row r="28" spans="1:28" x14ac:dyDescent="0.2">
      <c r="A28" s="700">
        <v>900</v>
      </c>
      <c r="B28" s="700" t="s">
        <v>549</v>
      </c>
      <c r="C28" s="700"/>
      <c r="D28" s="700"/>
      <c r="E28" s="700">
        <v>30</v>
      </c>
      <c r="F28" s="700" t="s">
        <v>550</v>
      </c>
      <c r="G28" s="700"/>
      <c r="H28" s="700"/>
      <c r="I28" s="700"/>
      <c r="J28" s="700"/>
      <c r="K28" s="700"/>
      <c r="L28" s="700"/>
      <c r="M28" s="700"/>
      <c r="N28" s="700"/>
      <c r="O28" s="700" t="s">
        <v>508</v>
      </c>
      <c r="P28" s="700">
        <f>INT(S23/1000000)</f>
        <v>0</v>
      </c>
      <c r="Q28" s="700"/>
      <c r="R28" s="700"/>
      <c r="S28" s="700" t="s">
        <v>509</v>
      </c>
      <c r="T28" s="700">
        <f>INT(MOD(S24/1000,1000))</f>
        <v>0</v>
      </c>
      <c r="U28" s="700"/>
      <c r="V28" s="700"/>
      <c r="W28" s="700" t="s">
        <v>510</v>
      </c>
      <c r="X28" s="700">
        <f>MOD(S24,1000)</f>
        <v>0</v>
      </c>
      <c r="Y28" s="700"/>
      <c r="Z28" s="700"/>
      <c r="AA28" s="700"/>
      <c r="AB28" s="700"/>
    </row>
    <row r="29" spans="1:28" x14ac:dyDescent="0.2">
      <c r="A29" s="700"/>
      <c r="B29" s="700"/>
      <c r="C29" s="700"/>
      <c r="D29" s="700"/>
      <c r="E29" s="700">
        <v>40</v>
      </c>
      <c r="F29" s="700" t="s">
        <v>551</v>
      </c>
      <c r="G29" s="700"/>
      <c r="H29" s="700"/>
      <c r="I29" s="700"/>
      <c r="J29" s="700"/>
      <c r="K29" s="700"/>
      <c r="L29" s="700"/>
      <c r="M29" s="700"/>
      <c r="N29" s="700"/>
      <c r="O29" s="700"/>
      <c r="P29" s="700"/>
      <c r="Q29" s="700"/>
      <c r="R29" s="700"/>
      <c r="S29" s="700"/>
      <c r="T29" s="700"/>
      <c r="U29" s="700"/>
      <c r="V29" s="700"/>
      <c r="W29" s="700"/>
      <c r="X29" s="700"/>
      <c r="Y29" s="700"/>
      <c r="Z29" s="700"/>
      <c r="AA29" s="700"/>
      <c r="AB29" s="700"/>
    </row>
    <row r="30" spans="1:28" x14ac:dyDescent="0.2">
      <c r="A30" s="700"/>
      <c r="B30" s="700"/>
      <c r="C30" s="700"/>
      <c r="D30" s="700"/>
      <c r="E30" s="700">
        <v>50</v>
      </c>
      <c r="F30" s="700" t="s">
        <v>552</v>
      </c>
      <c r="G30" s="700"/>
      <c r="H30" s="700"/>
      <c r="I30" s="700"/>
      <c r="J30" s="700"/>
      <c r="K30" s="700"/>
      <c r="L30" s="700"/>
      <c r="M30" s="700"/>
      <c r="N30" s="700"/>
      <c r="O30" s="700" t="s">
        <v>510</v>
      </c>
      <c r="P30" s="700">
        <f>P28</f>
        <v>0</v>
      </c>
      <c r="Q30" s="700" t="str">
        <f>VLOOKUP(P30,$A$18:$B$28,2,1)</f>
        <v xml:space="preserve"> </v>
      </c>
      <c r="R30" s="700"/>
      <c r="S30" s="700" t="s">
        <v>510</v>
      </c>
      <c r="T30" s="700">
        <f>T28</f>
        <v>0</v>
      </c>
      <c r="U30" s="700" t="str">
        <f>VLOOKUP(T30,$A$18:$B$28,2,1)</f>
        <v xml:space="preserve"> </v>
      </c>
      <c r="V30" s="700"/>
      <c r="W30" s="700" t="s">
        <v>510</v>
      </c>
      <c r="X30" s="700">
        <f>X28</f>
        <v>0</v>
      </c>
      <c r="Y30" s="700" t="str">
        <f>VLOOKUP(X30,$A$18:$B$28,2,1)</f>
        <v xml:space="preserve"> </v>
      </c>
      <c r="Z30" s="700"/>
      <c r="AA30" s="700"/>
      <c r="AB30" s="700"/>
    </row>
    <row r="31" spans="1:28" x14ac:dyDescent="0.2">
      <c r="A31" s="700"/>
      <c r="B31" s="700"/>
      <c r="C31" s="700"/>
      <c r="D31" s="700"/>
      <c r="E31" s="700">
        <v>60</v>
      </c>
      <c r="F31" s="700" t="s">
        <v>553</v>
      </c>
      <c r="G31" s="700"/>
      <c r="H31" s="700"/>
      <c r="I31" s="700"/>
      <c r="J31" s="700"/>
      <c r="K31" s="700"/>
      <c r="L31" s="700"/>
      <c r="M31" s="700"/>
      <c r="N31" s="700"/>
      <c r="O31" s="700" t="s">
        <v>511</v>
      </c>
      <c r="P31" s="700">
        <f>MOD(P28,100)</f>
        <v>0</v>
      </c>
      <c r="Q31" s="700" t="str">
        <f>VLOOKUP(P31,$E$18:$G$34,2,1)</f>
        <v xml:space="preserve"> </v>
      </c>
      <c r="R31" s="700" t="str">
        <f>IF(AND(P31&gt;29,P32&lt;&gt;0)," Y ","")</f>
        <v/>
      </c>
      <c r="S31" s="700" t="s">
        <v>512</v>
      </c>
      <c r="T31" s="700">
        <f>MOD(T28,100)</f>
        <v>0</v>
      </c>
      <c r="U31" s="700" t="str">
        <f>VLOOKUP(T31,$E$18:$F$34,2,1)</f>
        <v xml:space="preserve"> </v>
      </c>
      <c r="V31" s="700" t="str">
        <f>IF(AND(T31&gt;29,T32&lt;&gt;0)," Y ","")</f>
        <v/>
      </c>
      <c r="W31" s="700" t="s">
        <v>512</v>
      </c>
      <c r="X31" s="700">
        <f>MOD(X28,100)</f>
        <v>0</v>
      </c>
      <c r="Y31" s="700" t="str">
        <f>VLOOKUP(X31,$E$18:$F$34,2,1)</f>
        <v xml:space="preserve"> </v>
      </c>
      <c r="Z31" s="700" t="str">
        <f>IF(AND(X31&gt;29,X32&lt;&gt;0)," Y ","")</f>
        <v/>
      </c>
      <c r="AA31" s="700"/>
      <c r="AB31" s="700"/>
    </row>
    <row r="32" spans="1:28" x14ac:dyDescent="0.2">
      <c r="A32" s="700"/>
      <c r="B32" s="700"/>
      <c r="C32" s="700"/>
      <c r="D32" s="700"/>
      <c r="E32" s="700">
        <v>70</v>
      </c>
      <c r="F32" s="700" t="s">
        <v>554</v>
      </c>
      <c r="G32" s="700"/>
      <c r="H32" s="700"/>
      <c r="I32" s="700"/>
      <c r="J32" s="700"/>
      <c r="K32" s="700"/>
      <c r="L32" s="700"/>
      <c r="M32" s="700"/>
      <c r="N32" s="700"/>
      <c r="O32" s="700" t="s">
        <v>513</v>
      </c>
      <c r="P32" s="700">
        <f>MOD(P31,10)</f>
        <v>0</v>
      </c>
      <c r="Q32" s="700" t="str">
        <f>IF((P31&lt;10)+(P31&gt;15),VLOOKUP(P32,$J$18:$L$27,3,0),"")</f>
        <v xml:space="preserve"> </v>
      </c>
      <c r="R32" s="700"/>
      <c r="S32" s="700" t="s">
        <v>513</v>
      </c>
      <c r="T32" s="700">
        <f>MOD(T31,10)</f>
        <v>0</v>
      </c>
      <c r="U32" s="700" t="str">
        <f>IF(((T31&lt;10)+(T31&gt;15))*(T28&lt;&gt;1),VLOOKUP(T32,$J$18:$L$27,3,0),"")</f>
        <v xml:space="preserve"> </v>
      </c>
      <c r="V32" s="700"/>
      <c r="W32" s="700" t="s">
        <v>513</v>
      </c>
      <c r="X32" s="700">
        <f>MOD(X31,10)</f>
        <v>0</v>
      </c>
      <c r="Y32" s="700" t="str">
        <f>IF((X31&lt;10)+(X31&gt;15),VLOOKUP(X32,$J$18:$K$27,2,0),"")</f>
        <v xml:space="preserve"> </v>
      </c>
      <c r="Z32" s="700"/>
      <c r="AA32" s="700"/>
      <c r="AB32" s="700"/>
    </row>
    <row r="33" spans="1:28" x14ac:dyDescent="0.2">
      <c r="A33" s="700"/>
      <c r="B33" s="700"/>
      <c r="C33" s="700"/>
      <c r="D33" s="700"/>
      <c r="E33" s="700">
        <v>80</v>
      </c>
      <c r="F33" s="700" t="s">
        <v>555</v>
      </c>
      <c r="G33" s="700"/>
      <c r="H33" s="700"/>
      <c r="I33" s="700"/>
      <c r="J33" s="700"/>
      <c r="K33" s="700"/>
      <c r="L33" s="700"/>
      <c r="M33" s="700"/>
      <c r="N33" s="700"/>
      <c r="O33" s="700" t="s">
        <v>514</v>
      </c>
      <c r="P33" s="700" t="str">
        <f>VLOOKUP(P28,$N$18:$O$20,2,1)</f>
        <v xml:space="preserve"> </v>
      </c>
      <c r="Q33" s="700"/>
      <c r="R33" s="700"/>
      <c r="S33" s="700" t="s">
        <v>514</v>
      </c>
      <c r="T33" s="700" t="str">
        <f>IF(T28=0,"","MIL")</f>
        <v/>
      </c>
      <c r="U33" s="700"/>
      <c r="V33" s="700"/>
      <c r="W33" s="700"/>
      <c r="X33" s="700"/>
      <c r="Y33" s="700"/>
      <c r="Z33" s="700"/>
      <c r="AA33" s="700"/>
      <c r="AB33" s="700"/>
    </row>
    <row r="34" spans="1:28" x14ac:dyDescent="0.2">
      <c r="A34" s="700"/>
      <c r="B34" s="700"/>
      <c r="C34" s="700"/>
      <c r="D34" s="700"/>
      <c r="E34" s="700">
        <v>90</v>
      </c>
      <c r="F34" s="700" t="s">
        <v>556</v>
      </c>
      <c r="G34" s="700"/>
      <c r="H34" s="700"/>
      <c r="I34" s="700"/>
      <c r="J34" s="700"/>
      <c r="K34" s="700"/>
      <c r="L34" s="700"/>
      <c r="M34" s="700"/>
      <c r="N34" s="700"/>
      <c r="O34" s="700"/>
      <c r="P34" s="700"/>
      <c r="Q34" s="700"/>
      <c r="R34" s="700"/>
      <c r="S34" s="700"/>
      <c r="T34" s="700"/>
      <c r="U34" s="700"/>
      <c r="V34" s="700"/>
      <c r="W34" s="700"/>
      <c r="X34" s="700"/>
      <c r="Y34" s="700"/>
      <c r="Z34" s="700"/>
      <c r="AA34" s="700"/>
      <c r="AB34" s="700"/>
    </row>
    <row r="35" spans="1:28" x14ac:dyDescent="0.2">
      <c r="A35" s="700"/>
      <c r="B35" s="700"/>
      <c r="C35" s="700"/>
      <c r="D35" s="700"/>
      <c r="E35" s="700"/>
      <c r="F35" s="700"/>
      <c r="G35" s="700"/>
      <c r="H35" s="700"/>
      <c r="I35" s="700"/>
      <c r="J35" s="700"/>
      <c r="K35" s="700"/>
      <c r="L35" s="700"/>
      <c r="M35" s="700"/>
      <c r="N35" s="700"/>
      <c r="O35" s="700" t="s">
        <v>515</v>
      </c>
      <c r="P35" s="700" t="str">
        <f>IF(S24=0,"CERO",Q30&amp;" "&amp;Q31&amp;R31&amp;Q32&amp;" "&amp;P33&amp;" "&amp;U30&amp;" "&amp;U31&amp;V31&amp;U32&amp;" "&amp;T33&amp;" "&amp;Y30&amp;" "&amp;Y31&amp;Z31&amp;Y32)&amp;" CON "&amp;S25&amp;"/100 "&amp;S26</f>
        <v xml:space="preserve">CERO CON 00/100 </v>
      </c>
      <c r="Q35" s="700"/>
      <c r="R35" s="700"/>
      <c r="S35" s="700"/>
      <c r="T35" s="700"/>
      <c r="U35" s="700"/>
      <c r="V35" s="700"/>
      <c r="W35" s="700"/>
      <c r="X35" s="700"/>
      <c r="Y35" s="700"/>
      <c r="Z35" s="700"/>
      <c r="AA35" s="700"/>
      <c r="AB35" s="700"/>
    </row>
    <row r="36" spans="1:28" x14ac:dyDescent="0.2">
      <c r="A36" s="700"/>
      <c r="B36" s="700"/>
      <c r="C36" s="700"/>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row>
    <row r="37" spans="1:28" x14ac:dyDescent="0.2">
      <c r="A37" s="722"/>
      <c r="B37" s="722"/>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row>
    <row r="38" spans="1:28" x14ac:dyDescent="0.2">
      <c r="A38" s="723"/>
      <c r="B38" s="723"/>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row>
    <row r="39" spans="1:28" x14ac:dyDescent="0.2">
      <c r="A39" s="700"/>
      <c r="B39" s="700"/>
      <c r="C39" s="700"/>
      <c r="D39" s="700"/>
      <c r="E39" s="700"/>
      <c r="F39" s="700"/>
      <c r="G39" s="700"/>
      <c r="H39" s="700"/>
      <c r="I39" s="700"/>
      <c r="J39" s="700"/>
      <c r="K39" s="700"/>
      <c r="L39" s="700"/>
      <c r="M39" s="700"/>
      <c r="N39" s="723"/>
      <c r="O39" s="723"/>
      <c r="P39" s="723"/>
      <c r="Q39" s="723"/>
      <c r="R39" s="723"/>
      <c r="S39" s="723"/>
      <c r="T39" s="723"/>
      <c r="U39" s="723"/>
      <c r="V39" s="723"/>
      <c r="W39" s="723"/>
      <c r="X39" s="723"/>
      <c r="Y39" s="723"/>
      <c r="Z39" s="723"/>
      <c r="AA39" s="723"/>
      <c r="AB39" s="723"/>
    </row>
    <row r="40" spans="1:28" x14ac:dyDescent="0.2">
      <c r="A40" s="700"/>
      <c r="B40" s="700"/>
      <c r="C40" s="700"/>
      <c r="D40" s="700"/>
      <c r="E40" s="700"/>
      <c r="F40" s="700"/>
      <c r="G40" s="700"/>
      <c r="H40" s="700"/>
      <c r="I40" s="700"/>
      <c r="J40" s="700"/>
      <c r="K40" s="700"/>
      <c r="L40" s="700"/>
      <c r="M40" s="700"/>
      <c r="N40" s="723"/>
      <c r="O40" s="723"/>
      <c r="P40" s="723"/>
      <c r="Q40" s="723"/>
      <c r="R40" s="723"/>
      <c r="S40" s="723"/>
      <c r="T40" s="723"/>
      <c r="U40" s="723"/>
      <c r="V40" s="723"/>
      <c r="W40" s="723"/>
      <c r="X40" s="723"/>
      <c r="Y40" s="723"/>
      <c r="Z40" s="723"/>
      <c r="AA40" s="723"/>
      <c r="AB40" s="723"/>
    </row>
    <row r="41" spans="1:28" x14ac:dyDescent="0.2">
      <c r="A41" s="700"/>
      <c r="B41" s="700"/>
      <c r="C41" s="700"/>
      <c r="D41" s="700" t="s">
        <v>15</v>
      </c>
      <c r="E41" s="774" t="str">
        <f>'Cert. Constructor'!J34</f>
        <v>ASDASD</v>
      </c>
      <c r="F41" s="700" t="e">
        <f>TRIM(B53)</f>
        <v>#VALUE!</v>
      </c>
      <c r="G41" s="700"/>
      <c r="H41" s="700"/>
      <c r="I41" s="700"/>
      <c r="J41" s="700"/>
      <c r="K41" s="700"/>
      <c r="L41" s="700"/>
      <c r="M41" s="700"/>
      <c r="N41" s="723"/>
      <c r="O41" s="723"/>
      <c r="P41" s="723"/>
      <c r="Q41" s="723"/>
      <c r="R41" s="723"/>
      <c r="S41" s="723"/>
      <c r="T41" s="723"/>
      <c r="U41" s="723"/>
      <c r="V41" s="723"/>
      <c r="W41" s="723"/>
      <c r="X41" s="723"/>
      <c r="Y41" s="723"/>
      <c r="Z41" s="723"/>
      <c r="AA41" s="723"/>
      <c r="AB41" s="723"/>
    </row>
    <row r="42" spans="1:28" x14ac:dyDescent="0.2">
      <c r="A42" s="700"/>
      <c r="B42" s="700"/>
      <c r="C42" s="700"/>
      <c r="D42" s="700" t="s">
        <v>505</v>
      </c>
      <c r="E42" s="774" t="e">
        <f>INT(E41)</f>
        <v>#VALUE!</v>
      </c>
      <c r="F42" s="700"/>
      <c r="G42" s="700"/>
      <c r="H42" s="700"/>
      <c r="I42" s="700"/>
      <c r="J42" s="700"/>
      <c r="K42" s="700"/>
      <c r="L42" s="700"/>
      <c r="M42" s="700"/>
      <c r="N42" s="723"/>
      <c r="O42" s="723"/>
      <c r="P42" s="723"/>
      <c r="Q42" s="723"/>
      <c r="R42" s="723"/>
      <c r="S42" s="723"/>
      <c r="T42" s="723"/>
      <c r="U42" s="723"/>
      <c r="V42" s="723"/>
      <c r="W42" s="723"/>
      <c r="X42" s="723"/>
      <c r="Y42" s="723"/>
      <c r="Z42" s="723"/>
      <c r="AA42" s="723"/>
      <c r="AB42" s="723"/>
    </row>
    <row r="43" spans="1:28" x14ac:dyDescent="0.2">
      <c r="A43" s="700"/>
      <c r="B43" s="700"/>
      <c r="C43" s="700"/>
      <c r="D43" s="700" t="s">
        <v>506</v>
      </c>
      <c r="E43" s="700" t="e">
        <f>IF((E41-E42)=0,"00",ROUND((E41-E42)*100,2))</f>
        <v>#VALUE!</v>
      </c>
      <c r="F43" s="773"/>
      <c r="G43" s="700"/>
      <c r="H43" s="700"/>
      <c r="I43" s="700"/>
      <c r="J43" s="700"/>
      <c r="K43" s="700"/>
      <c r="L43" s="700"/>
      <c r="M43" s="700"/>
      <c r="N43" s="723"/>
      <c r="O43" s="723"/>
      <c r="P43" s="723"/>
      <c r="Q43" s="723"/>
      <c r="R43" s="723"/>
      <c r="S43" s="723"/>
      <c r="T43" s="723"/>
      <c r="U43" s="723"/>
      <c r="V43" s="723"/>
      <c r="W43" s="723"/>
      <c r="X43" s="723"/>
      <c r="Y43" s="723"/>
      <c r="Z43" s="723"/>
      <c r="AA43" s="723"/>
      <c r="AB43" s="723"/>
    </row>
    <row r="44" spans="1:28" x14ac:dyDescent="0.2">
      <c r="A44" s="700"/>
      <c r="B44" s="700"/>
      <c r="C44" s="700"/>
      <c r="D44" s="700" t="s">
        <v>507</v>
      </c>
      <c r="E44" s="711"/>
      <c r="F44" s="700"/>
      <c r="G44" s="700"/>
      <c r="H44" s="700"/>
      <c r="I44" s="700"/>
      <c r="J44" s="700"/>
      <c r="K44" s="700"/>
      <c r="L44" s="700"/>
      <c r="M44" s="700"/>
      <c r="N44" s="723"/>
      <c r="O44" s="723"/>
      <c r="P44" s="723"/>
      <c r="Q44" s="723"/>
      <c r="R44" s="723"/>
      <c r="S44" s="723"/>
      <c r="T44" s="723"/>
      <c r="U44" s="723"/>
      <c r="V44" s="723"/>
      <c r="W44" s="723"/>
      <c r="X44" s="723"/>
      <c r="Y44" s="723"/>
      <c r="Z44" s="723"/>
      <c r="AA44" s="723"/>
      <c r="AB44" s="723"/>
    </row>
    <row r="45" spans="1:28" x14ac:dyDescent="0.2">
      <c r="A45" s="700"/>
      <c r="B45" s="700"/>
      <c r="C45" s="700"/>
      <c r="D45" s="700"/>
      <c r="E45" s="700"/>
      <c r="F45" s="700"/>
      <c r="G45" s="700"/>
      <c r="H45" s="700"/>
      <c r="I45" s="700"/>
      <c r="J45" s="700"/>
      <c r="K45" s="700"/>
      <c r="L45" s="700"/>
      <c r="M45" s="700"/>
      <c r="N45" s="723"/>
      <c r="O45" s="723"/>
      <c r="P45" s="723"/>
      <c r="Q45" s="723"/>
      <c r="R45" s="723"/>
      <c r="S45" s="723"/>
      <c r="T45" s="723"/>
      <c r="U45" s="723"/>
      <c r="V45" s="723"/>
      <c r="W45" s="723"/>
      <c r="X45" s="723"/>
      <c r="Y45" s="723"/>
      <c r="Z45" s="723"/>
      <c r="AA45" s="723"/>
      <c r="AB45" s="723"/>
    </row>
    <row r="46" spans="1:28" x14ac:dyDescent="0.2">
      <c r="A46" s="700" t="s">
        <v>508</v>
      </c>
      <c r="B46" s="700" t="e">
        <f>INT(E41/1000000)</f>
        <v>#VALUE!</v>
      </c>
      <c r="C46" s="700"/>
      <c r="D46" s="700"/>
      <c r="E46" s="700" t="s">
        <v>509</v>
      </c>
      <c r="F46" s="700" t="e">
        <f>INT(MOD(E42/1000,1000))</f>
        <v>#VALUE!</v>
      </c>
      <c r="G46" s="700"/>
      <c r="H46" s="700"/>
      <c r="I46" s="700" t="s">
        <v>510</v>
      </c>
      <c r="J46" s="700" t="e">
        <f>MOD(E42,1000)</f>
        <v>#VALUE!</v>
      </c>
      <c r="K46" s="700"/>
      <c r="L46" s="700"/>
      <c r="M46" s="700"/>
      <c r="N46" s="723"/>
      <c r="O46" s="723"/>
      <c r="P46" s="723"/>
      <c r="Q46" s="723"/>
      <c r="R46" s="723"/>
      <c r="S46" s="723"/>
      <c r="T46" s="723"/>
      <c r="U46" s="723"/>
      <c r="V46" s="723"/>
      <c r="W46" s="723"/>
      <c r="X46" s="723"/>
      <c r="Y46" s="723"/>
      <c r="Z46" s="723"/>
      <c r="AA46" s="723"/>
      <c r="AB46" s="723"/>
    </row>
    <row r="47" spans="1:28" x14ac:dyDescent="0.2">
      <c r="A47" s="700"/>
      <c r="B47" s="700"/>
      <c r="C47" s="700"/>
      <c r="D47" s="700"/>
      <c r="E47" s="700"/>
      <c r="F47" s="700"/>
      <c r="G47" s="700"/>
      <c r="H47" s="700"/>
      <c r="I47" s="700"/>
      <c r="J47" s="700"/>
      <c r="K47" s="700"/>
      <c r="L47" s="700"/>
      <c r="M47" s="700"/>
      <c r="N47" s="723"/>
      <c r="O47" s="723"/>
      <c r="P47" s="723"/>
      <c r="Q47" s="723"/>
      <c r="R47" s="723"/>
      <c r="S47" s="723"/>
      <c r="T47" s="723"/>
      <c r="U47" s="723"/>
      <c r="V47" s="723"/>
      <c r="W47" s="723"/>
      <c r="X47" s="723"/>
      <c r="Y47" s="723"/>
      <c r="Z47" s="723"/>
      <c r="AA47" s="723"/>
      <c r="AB47" s="723"/>
    </row>
    <row r="48" spans="1:28" x14ac:dyDescent="0.2">
      <c r="A48" s="700" t="s">
        <v>510</v>
      </c>
      <c r="B48" s="700" t="e">
        <f>B46</f>
        <v>#VALUE!</v>
      </c>
      <c r="C48" s="700" t="e">
        <f>VLOOKUP(B48,$A$18:$B$28,2,1)</f>
        <v>#VALUE!</v>
      </c>
      <c r="D48" s="700"/>
      <c r="E48" s="700" t="s">
        <v>510</v>
      </c>
      <c r="F48" s="700" t="e">
        <f>F46</f>
        <v>#VALUE!</v>
      </c>
      <c r="G48" s="700" t="e">
        <f>VLOOKUP(F48,$A$18:$B$28,2,1)</f>
        <v>#VALUE!</v>
      </c>
      <c r="H48" s="700"/>
      <c r="I48" s="700" t="s">
        <v>510</v>
      </c>
      <c r="J48" s="700" t="e">
        <f>J46</f>
        <v>#VALUE!</v>
      </c>
      <c r="K48" s="700" t="e">
        <f>VLOOKUP(J48,$A$18:$B$28,2,1)</f>
        <v>#VALUE!</v>
      </c>
      <c r="L48" s="700"/>
      <c r="M48" s="700"/>
      <c r="N48" s="723"/>
      <c r="O48" s="723"/>
      <c r="P48" s="723"/>
      <c r="Q48" s="723"/>
      <c r="R48" s="723"/>
      <c r="S48" s="723"/>
      <c r="T48" s="723"/>
      <c r="U48" s="723"/>
      <c r="V48" s="723"/>
      <c r="W48" s="723"/>
      <c r="X48" s="723"/>
      <c r="Y48" s="723"/>
      <c r="Z48" s="723"/>
      <c r="AA48" s="723"/>
      <c r="AB48" s="723"/>
    </row>
    <row r="49" spans="1:28" x14ac:dyDescent="0.2">
      <c r="A49" s="700" t="s">
        <v>511</v>
      </c>
      <c r="B49" s="700" t="e">
        <f>MOD(B46,100)</f>
        <v>#VALUE!</v>
      </c>
      <c r="C49" s="700" t="e">
        <f>VLOOKUP(B49,$E$18:$G$34,2,1)</f>
        <v>#VALUE!</v>
      </c>
      <c r="D49" s="700" t="e">
        <f>IF(AND(B49&gt;29,B50&lt;&gt;0)," Y ","")</f>
        <v>#VALUE!</v>
      </c>
      <c r="E49" s="700" t="s">
        <v>512</v>
      </c>
      <c r="F49" s="700" t="e">
        <f>MOD(F46,100)</f>
        <v>#VALUE!</v>
      </c>
      <c r="G49" s="700" t="e">
        <f>VLOOKUP(F49,$E$18:$F$34,2,1)</f>
        <v>#VALUE!</v>
      </c>
      <c r="H49" s="700" t="e">
        <f>IF(AND(F49&gt;29,F50&lt;&gt;0)," Y ","")</f>
        <v>#VALUE!</v>
      </c>
      <c r="I49" s="700" t="s">
        <v>512</v>
      </c>
      <c r="J49" s="700" t="e">
        <f>MOD(J46,100)</f>
        <v>#VALUE!</v>
      </c>
      <c r="K49" s="700" t="e">
        <f>VLOOKUP(J49,$E$18:$F$34,2,1)</f>
        <v>#VALUE!</v>
      </c>
      <c r="L49" s="700" t="e">
        <f>IF(AND(J49&gt;29,J50&lt;&gt;0)," Y ","")</f>
        <v>#VALUE!</v>
      </c>
      <c r="M49" s="700"/>
      <c r="N49" s="723"/>
      <c r="O49" s="723"/>
      <c r="P49" s="723"/>
      <c r="Q49" s="723"/>
      <c r="R49" s="723"/>
      <c r="S49" s="723"/>
      <c r="T49" s="723"/>
      <c r="U49" s="723"/>
      <c r="V49" s="723"/>
      <c r="W49" s="723"/>
      <c r="X49" s="723"/>
      <c r="Y49" s="723"/>
      <c r="Z49" s="723"/>
      <c r="AA49" s="723"/>
      <c r="AB49" s="723"/>
    </row>
    <row r="50" spans="1:28" x14ac:dyDescent="0.2">
      <c r="A50" s="700" t="s">
        <v>513</v>
      </c>
      <c r="B50" s="700" t="e">
        <f>MOD(B49,10)</f>
        <v>#VALUE!</v>
      </c>
      <c r="C50" s="700" t="e">
        <f>IF((B49&lt;10)+(B49&gt;15),VLOOKUP(B50,$J$18:$L$27,3,0),"")</f>
        <v>#VALUE!</v>
      </c>
      <c r="D50" s="700"/>
      <c r="E50" s="700" t="s">
        <v>513</v>
      </c>
      <c r="F50" s="700" t="e">
        <f>MOD(F49,10)</f>
        <v>#VALUE!</v>
      </c>
      <c r="G50" s="700" t="e">
        <f>IF(((F49&lt;10)+(F49&gt;15))*(F46&lt;&gt;1),VLOOKUP(F50,$J$18:$L$27,3,0),"")</f>
        <v>#VALUE!</v>
      </c>
      <c r="H50" s="700"/>
      <c r="I50" s="700" t="s">
        <v>513</v>
      </c>
      <c r="J50" s="700" t="e">
        <f>MOD(J49,10)</f>
        <v>#VALUE!</v>
      </c>
      <c r="K50" s="700" t="e">
        <f>IF((J49&lt;10)+(J49&gt;15),VLOOKUP(J50,$J$18:$K$27,2,0),"")</f>
        <v>#VALUE!</v>
      </c>
      <c r="L50" s="700"/>
      <c r="M50" s="700"/>
      <c r="N50" s="723"/>
      <c r="O50" s="723"/>
      <c r="P50" s="723"/>
      <c r="Q50" s="723"/>
      <c r="R50" s="723"/>
      <c r="S50" s="723"/>
      <c r="T50" s="723"/>
      <c r="U50" s="723"/>
      <c r="V50" s="723"/>
      <c r="W50" s="723"/>
      <c r="X50" s="723"/>
      <c r="Y50" s="723"/>
      <c r="Z50" s="723"/>
      <c r="AA50" s="723"/>
      <c r="AB50" s="723"/>
    </row>
    <row r="51" spans="1:28" x14ac:dyDescent="0.2">
      <c r="A51" s="700" t="s">
        <v>514</v>
      </c>
      <c r="B51" s="700" t="e">
        <f>VLOOKUP(B46,$N$18:$O$20,2,1)</f>
        <v>#VALUE!</v>
      </c>
      <c r="C51" s="700"/>
      <c r="D51" s="700"/>
      <c r="E51" s="700" t="s">
        <v>514</v>
      </c>
      <c r="F51" s="700" t="e">
        <f>IF(F46=0,"","MIL")</f>
        <v>#VALUE!</v>
      </c>
      <c r="G51" s="700"/>
      <c r="H51" s="700"/>
      <c r="I51" s="700"/>
      <c r="J51" s="700"/>
      <c r="K51" s="700"/>
      <c r="L51" s="700"/>
      <c r="M51" s="700"/>
      <c r="N51" s="723"/>
      <c r="O51" s="723"/>
      <c r="P51" s="723"/>
      <c r="Q51" s="723"/>
      <c r="R51" s="723"/>
      <c r="S51" s="723"/>
      <c r="T51" s="723"/>
      <c r="U51" s="723"/>
      <c r="V51" s="723"/>
      <c r="W51" s="723"/>
      <c r="X51" s="723"/>
      <c r="Y51" s="723"/>
      <c r="Z51" s="723"/>
      <c r="AA51" s="723"/>
      <c r="AB51" s="723"/>
    </row>
    <row r="52" spans="1:28" x14ac:dyDescent="0.2">
      <c r="A52" s="700"/>
      <c r="B52" s="700"/>
      <c r="C52" s="700"/>
      <c r="D52" s="700"/>
      <c r="E52" s="700"/>
      <c r="F52" s="700"/>
      <c r="G52" s="700"/>
      <c r="H52" s="700"/>
      <c r="I52" s="700"/>
      <c r="J52" s="700"/>
      <c r="K52" s="700"/>
      <c r="L52" s="700"/>
      <c r="M52" s="700"/>
      <c r="N52" s="723"/>
      <c r="O52" s="723"/>
      <c r="P52" s="723"/>
      <c r="Q52" s="723"/>
      <c r="R52" s="723"/>
      <c r="S52" s="723"/>
      <c r="T52" s="723"/>
      <c r="U52" s="723"/>
      <c r="V52" s="723"/>
      <c r="W52" s="723"/>
      <c r="X52" s="723"/>
      <c r="Y52" s="723"/>
      <c r="Z52" s="723"/>
      <c r="AA52" s="723"/>
      <c r="AB52" s="723"/>
    </row>
    <row r="53" spans="1:28" x14ac:dyDescent="0.2">
      <c r="A53" s="700" t="s">
        <v>515</v>
      </c>
      <c r="B53" s="700" t="e">
        <f>IF(E42=0,"CERO",C48&amp;" "&amp;C49&amp;D49&amp;C50&amp;" "&amp;B51&amp;" "&amp;G48&amp;" "&amp;G49&amp;H49&amp;G50&amp;" "&amp;F51&amp;" "&amp;K48&amp;" "&amp;K49&amp;L49&amp;K50)&amp;" CON "&amp;E43&amp;"/100 "&amp;E44</f>
        <v>#VALUE!</v>
      </c>
      <c r="C53" s="700"/>
      <c r="D53" s="700"/>
      <c r="E53" s="700"/>
      <c r="F53" s="700"/>
      <c r="G53" s="700"/>
      <c r="H53" s="700"/>
      <c r="I53" s="700"/>
      <c r="J53" s="700"/>
      <c r="K53" s="700"/>
      <c r="L53" s="700"/>
      <c r="M53" s="700"/>
      <c r="N53" s="723"/>
      <c r="O53" s="723"/>
      <c r="P53" s="723"/>
      <c r="Q53" s="723"/>
      <c r="R53" s="723"/>
      <c r="S53" s="723"/>
      <c r="T53" s="723"/>
      <c r="U53" s="723"/>
      <c r="V53" s="723"/>
      <c r="W53" s="723"/>
      <c r="X53" s="723"/>
      <c r="Y53" s="723"/>
      <c r="Z53" s="723"/>
      <c r="AA53" s="723"/>
      <c r="AB53" s="723"/>
    </row>
    <row r="54" spans="1:28" x14ac:dyDescent="0.2">
      <c r="A54" s="723"/>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row>
    <row r="55" spans="1:28" x14ac:dyDescent="0.2">
      <c r="A55" s="723"/>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row>
    <row r="56" spans="1:28" x14ac:dyDescent="0.2">
      <c r="A56" s="723"/>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row>
  </sheetData>
  <customSheetViews>
    <customSheetView guid="{3055A696-E36D-42C0-8DEA-BCF75BC71F7B}" state="hidden" topLeftCell="A16">
      <selection activeCell="H48" sqref="H48"/>
      <pageMargins left="0.75" right="0.75" top="1" bottom="1" header="0" footer="0"/>
      <pageSetup orientation="portrait" horizontalDpi="1200" verticalDpi="1200" r:id="rId1"/>
      <headerFooter alignWithMargins="0"/>
    </customSheetView>
  </customSheetViews>
  <mergeCells count="4">
    <mergeCell ref="A17:B17"/>
    <mergeCell ref="E17:F17"/>
    <mergeCell ref="J17:L17"/>
    <mergeCell ref="N17:O17"/>
  </mergeCells>
  <phoneticPr fontId="72" type="noConversion"/>
  <pageMargins left="0.75" right="0.75" top="1" bottom="1" header="0" footer="0"/>
  <pageSetup orientation="portrait" horizontalDpi="1200" verticalDpi="12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indexed="10"/>
  </sheetPr>
  <dimension ref="A1:AJ142"/>
  <sheetViews>
    <sheetView topLeftCell="P1" workbookViewId="0">
      <selection activeCell="P1" sqref="P1:AP35"/>
    </sheetView>
  </sheetViews>
  <sheetFormatPr baseColWidth="10" defaultColWidth="3" defaultRowHeight="12.75" x14ac:dyDescent="0.2"/>
  <cols>
    <col min="1" max="1" width="0.7109375" style="700" hidden="1" customWidth="1"/>
    <col min="2" max="15" width="3" style="700" hidden="1" customWidth="1"/>
    <col min="16" max="16" width="8.85546875" style="723" customWidth="1"/>
    <col min="17" max="17" width="10.7109375" style="723" customWidth="1"/>
    <col min="18" max="18" width="12.5703125" style="723" customWidth="1"/>
    <col min="19" max="19" width="12.85546875" style="723" customWidth="1"/>
    <col min="20" max="20" width="30.28515625" style="723" customWidth="1"/>
    <col min="21" max="21" width="10.5703125" style="723" customWidth="1"/>
    <col min="22" max="16384" width="3" style="723"/>
  </cols>
  <sheetData>
    <row r="1" spans="1:36" x14ac:dyDescent="0.2">
      <c r="P1" s="700"/>
      <c r="Q1" s="700"/>
      <c r="R1" s="700"/>
      <c r="S1" s="700"/>
      <c r="T1" s="700"/>
      <c r="U1" s="700"/>
      <c r="V1" s="700"/>
      <c r="W1" s="700"/>
      <c r="X1" s="700"/>
      <c r="Y1" s="700"/>
      <c r="Z1" s="700"/>
      <c r="AA1" s="700"/>
      <c r="AB1" s="722"/>
      <c r="AC1" s="722"/>
      <c r="AD1" s="722"/>
      <c r="AE1" s="722"/>
      <c r="AF1" s="722"/>
      <c r="AG1" s="722"/>
      <c r="AH1" s="722"/>
      <c r="AI1" s="722"/>
      <c r="AJ1" s="722"/>
    </row>
    <row r="2" spans="1:36" x14ac:dyDescent="0.2">
      <c r="P2" s="700"/>
      <c r="Q2" s="700"/>
      <c r="R2" s="700"/>
      <c r="S2" s="700"/>
      <c r="T2" s="700"/>
      <c r="U2" s="700"/>
      <c r="V2" s="700"/>
      <c r="W2" s="700"/>
      <c r="X2" s="700"/>
      <c r="Y2" s="700"/>
      <c r="Z2" s="700"/>
      <c r="AA2" s="700"/>
      <c r="AB2" s="722"/>
      <c r="AC2" s="722"/>
      <c r="AD2" s="722"/>
      <c r="AE2" s="722"/>
      <c r="AF2" s="722"/>
      <c r="AG2" s="722"/>
      <c r="AH2" s="722"/>
      <c r="AI2" s="722"/>
      <c r="AJ2" s="722"/>
    </row>
    <row r="3" spans="1:36" x14ac:dyDescent="0.2">
      <c r="P3" s="700"/>
      <c r="Q3" s="700"/>
      <c r="R3" s="700"/>
      <c r="S3" s="700"/>
      <c r="T3" s="700"/>
      <c r="U3" s="700"/>
      <c r="V3" s="700"/>
      <c r="W3" s="700"/>
      <c r="X3" s="700"/>
      <c r="Y3" s="700"/>
      <c r="Z3" s="700"/>
      <c r="AA3" s="700"/>
      <c r="AB3" s="722"/>
      <c r="AC3" s="722"/>
      <c r="AD3" s="722"/>
      <c r="AE3" s="722"/>
      <c r="AF3" s="722"/>
      <c r="AG3" s="722"/>
      <c r="AH3" s="722"/>
      <c r="AI3" s="722"/>
      <c r="AJ3" s="722"/>
    </row>
    <row r="4" spans="1:36" x14ac:dyDescent="0.2">
      <c r="P4" s="700"/>
      <c r="Q4" s="700"/>
      <c r="R4" s="700"/>
      <c r="S4" s="700"/>
      <c r="T4" s="700"/>
      <c r="U4" s="700"/>
      <c r="V4" s="700"/>
      <c r="W4" s="700"/>
      <c r="X4" s="700"/>
      <c r="Y4" s="700"/>
      <c r="Z4" s="700"/>
      <c r="AA4" s="700"/>
      <c r="AB4" s="722"/>
      <c r="AC4" s="722"/>
      <c r="AD4" s="722"/>
      <c r="AE4" s="722"/>
      <c r="AF4" s="722"/>
      <c r="AG4" s="722"/>
      <c r="AH4" s="722"/>
      <c r="AI4" s="722"/>
      <c r="AJ4" s="722"/>
    </row>
    <row r="5" spans="1:36" x14ac:dyDescent="0.2">
      <c r="P5" s="700"/>
      <c r="Q5" s="700"/>
      <c r="R5" s="700"/>
      <c r="S5" s="700"/>
      <c r="T5" s="700"/>
      <c r="U5" s="700"/>
      <c r="V5" s="700"/>
      <c r="W5" s="700"/>
      <c r="X5" s="700"/>
      <c r="Y5" s="700"/>
      <c r="Z5" s="700"/>
      <c r="AA5" s="700"/>
      <c r="AB5" s="722"/>
      <c r="AC5" s="722"/>
      <c r="AD5" s="722"/>
      <c r="AE5" s="722"/>
      <c r="AF5" s="722"/>
      <c r="AG5" s="722"/>
      <c r="AH5" s="722"/>
      <c r="AI5" s="722"/>
      <c r="AJ5" s="722"/>
    </row>
    <row r="6" spans="1:36" x14ac:dyDescent="0.2">
      <c r="P6" s="700"/>
      <c r="Q6" s="700"/>
      <c r="R6" s="700"/>
      <c r="S6" s="700"/>
      <c r="T6" s="700"/>
      <c r="U6" s="700"/>
      <c r="V6" s="700"/>
      <c r="W6" s="700"/>
      <c r="X6" s="700"/>
      <c r="Y6" s="700"/>
      <c r="Z6" s="700"/>
      <c r="AA6" s="700"/>
      <c r="AB6" s="722"/>
      <c r="AC6" s="722"/>
      <c r="AD6" s="722"/>
      <c r="AE6" s="722"/>
      <c r="AF6" s="722"/>
      <c r="AG6" s="722"/>
      <c r="AH6" s="722"/>
      <c r="AI6" s="722"/>
      <c r="AJ6" s="722"/>
    </row>
    <row r="7" spans="1:36" x14ac:dyDescent="0.2">
      <c r="P7" s="700"/>
      <c r="Q7" s="700"/>
      <c r="R7" s="700"/>
      <c r="S7" s="700"/>
      <c r="T7" s="700"/>
      <c r="U7" s="700"/>
      <c r="V7" s="700"/>
      <c r="W7" s="700"/>
      <c r="X7" s="700"/>
      <c r="Y7" s="700"/>
      <c r="Z7" s="700"/>
      <c r="AA7" s="700"/>
      <c r="AB7" s="722"/>
      <c r="AC7" s="722"/>
      <c r="AD7" s="722"/>
      <c r="AE7" s="722"/>
      <c r="AF7" s="722"/>
      <c r="AG7" s="722"/>
      <c r="AH7" s="722"/>
      <c r="AI7" s="722"/>
      <c r="AJ7" s="722"/>
    </row>
    <row r="8" spans="1:36" x14ac:dyDescent="0.2">
      <c r="A8" s="700" t="s">
        <v>449</v>
      </c>
      <c r="B8" s="700">
        <f>Datos!K37</f>
        <v>0</v>
      </c>
      <c r="C8" s="701" t="s">
        <v>452</v>
      </c>
      <c r="D8" s="702">
        <f>Datos!K38</f>
        <v>0</v>
      </c>
      <c r="E8" s="701">
        <f>Datos!K39</f>
        <v>0</v>
      </c>
      <c r="F8" s="701" t="s">
        <v>191</v>
      </c>
      <c r="G8" s="701">
        <f>Datos!K40</f>
        <v>0</v>
      </c>
      <c r="H8" s="701" t="s">
        <v>144</v>
      </c>
      <c r="I8" s="701">
        <f>Datos!K41</f>
        <v>0</v>
      </c>
      <c r="J8" s="701">
        <f>Datos!K42</f>
        <v>0</v>
      </c>
      <c r="P8" s="700"/>
      <c r="Q8" s="700"/>
      <c r="R8" s="700"/>
      <c r="S8" s="700"/>
      <c r="T8" s="700"/>
      <c r="U8" s="700"/>
      <c r="V8" s="700"/>
      <c r="W8" s="700"/>
      <c r="X8" s="700"/>
      <c r="Y8" s="700"/>
      <c r="Z8" s="700"/>
      <c r="AA8" s="700"/>
      <c r="AB8" s="722"/>
      <c r="AC8" s="722"/>
      <c r="AD8" s="722"/>
      <c r="AE8" s="722"/>
      <c r="AF8" s="722"/>
      <c r="AG8" s="722"/>
      <c r="AH8" s="722"/>
      <c r="AI8" s="722"/>
      <c r="AJ8" s="722"/>
    </row>
    <row r="9" spans="1:36" x14ac:dyDescent="0.2">
      <c r="A9" s="700" t="s">
        <v>450</v>
      </c>
      <c r="B9" s="695">
        <f>Datos!K29</f>
        <v>0</v>
      </c>
      <c r="C9" s="700" t="s">
        <v>563</v>
      </c>
      <c r="D9" s="703">
        <f>Datos!K30</f>
        <v>0</v>
      </c>
      <c r="E9" s="700" t="s">
        <v>564</v>
      </c>
      <c r="F9" s="700">
        <f>Datos!K32</f>
        <v>0</v>
      </c>
      <c r="G9" s="704">
        <f>Datos!K33</f>
        <v>0</v>
      </c>
      <c r="P9" s="700"/>
      <c r="Q9" s="700"/>
      <c r="R9" s="700"/>
      <c r="S9" s="700"/>
      <c r="T9" s="700"/>
      <c r="U9" s="700"/>
      <c r="V9" s="700"/>
      <c r="W9" s="700"/>
      <c r="X9" s="700"/>
      <c r="Y9" s="700"/>
      <c r="Z9" s="700"/>
      <c r="AA9" s="700"/>
      <c r="AB9" s="722"/>
      <c r="AC9" s="722"/>
      <c r="AD9" s="722"/>
      <c r="AE9" s="722"/>
      <c r="AF9" s="722"/>
      <c r="AG9" s="722"/>
      <c r="AH9" s="722"/>
      <c r="AI9" s="722"/>
      <c r="AJ9" s="722"/>
    </row>
    <row r="10" spans="1:36" x14ac:dyDescent="0.2">
      <c r="B10" s="700" t="s">
        <v>154</v>
      </c>
      <c r="C10" s="700">
        <f>Datos!K34</f>
        <v>0</v>
      </c>
      <c r="D10" s="700" t="s">
        <v>148</v>
      </c>
      <c r="E10" s="700">
        <f>Datos!K35</f>
        <v>0</v>
      </c>
      <c r="F10" s="700" t="s">
        <v>566</v>
      </c>
      <c r="G10" s="695">
        <f>Datos!K18</f>
        <v>0</v>
      </c>
      <c r="H10" s="700" t="s">
        <v>563</v>
      </c>
      <c r="I10" s="705">
        <f>Datos!K19</f>
        <v>0</v>
      </c>
      <c r="J10" s="700" t="s">
        <v>564</v>
      </c>
      <c r="P10" s="700"/>
      <c r="Q10" s="700"/>
      <c r="R10" s="700"/>
      <c r="S10" s="700"/>
      <c r="T10" s="700"/>
      <c r="U10" s="700"/>
      <c r="V10" s="700"/>
      <c r="W10" s="700"/>
      <c r="X10" s="700"/>
      <c r="Y10" s="700"/>
      <c r="Z10" s="700"/>
      <c r="AA10" s="700"/>
      <c r="AB10" s="722"/>
      <c r="AC10" s="722"/>
      <c r="AD10" s="722"/>
      <c r="AE10" s="722"/>
      <c r="AF10" s="722"/>
      <c r="AG10" s="722"/>
      <c r="AH10" s="722"/>
      <c r="AI10" s="722"/>
      <c r="AJ10" s="722"/>
    </row>
    <row r="11" spans="1:36" x14ac:dyDescent="0.2">
      <c r="A11" s="700">
        <f>Datos!K20</f>
        <v>0</v>
      </c>
      <c r="B11" s="700">
        <f>Datos!K21</f>
        <v>0</v>
      </c>
      <c r="C11" s="700" t="s">
        <v>154</v>
      </c>
      <c r="D11" s="700">
        <f>Datos!K22</f>
        <v>0</v>
      </c>
      <c r="E11" s="700" t="s">
        <v>565</v>
      </c>
      <c r="F11" s="700">
        <f>Datos!K23</f>
        <v>0</v>
      </c>
      <c r="G11" s="700" t="s">
        <v>567</v>
      </c>
      <c r="H11" s="700">
        <f>Datos!K24</f>
        <v>0</v>
      </c>
      <c r="I11" s="700" t="s">
        <v>461</v>
      </c>
      <c r="J11" s="701">
        <f>Datos!K26</f>
        <v>0</v>
      </c>
      <c r="P11" s="700"/>
      <c r="Q11" s="700"/>
      <c r="R11" s="700"/>
      <c r="S11" s="700"/>
      <c r="T11" s="700"/>
      <c r="U11" s="700"/>
      <c r="V11" s="700"/>
      <c r="W11" s="700"/>
      <c r="X11" s="700"/>
      <c r="Y11" s="700"/>
      <c r="Z11" s="700"/>
      <c r="AA11" s="700"/>
      <c r="AB11" s="722"/>
      <c r="AC11" s="722"/>
      <c r="AD11" s="722"/>
      <c r="AE11" s="722"/>
      <c r="AF11" s="722"/>
      <c r="AG11" s="722"/>
      <c r="AH11" s="722"/>
      <c r="AI11" s="722"/>
      <c r="AJ11" s="722"/>
    </row>
    <row r="12" spans="1:36" x14ac:dyDescent="0.2">
      <c r="A12" s="700" t="s">
        <v>593</v>
      </c>
      <c r="P12" s="700"/>
      <c r="Q12" s="700"/>
      <c r="R12" s="700"/>
      <c r="S12" s="700"/>
      <c r="T12" s="700"/>
      <c r="U12" s="700"/>
      <c r="V12" s="700"/>
      <c r="W12" s="700"/>
      <c r="X12" s="700"/>
      <c r="Y12" s="700"/>
      <c r="Z12" s="700"/>
      <c r="AA12" s="700"/>
      <c r="AB12" s="722"/>
      <c r="AC12" s="722"/>
      <c r="AD12" s="722"/>
      <c r="AE12" s="722"/>
      <c r="AF12" s="722"/>
      <c r="AG12" s="722"/>
      <c r="AH12" s="722"/>
      <c r="AI12" s="722"/>
      <c r="AJ12" s="722"/>
    </row>
    <row r="13" spans="1:36" ht="13.5" thickBot="1" x14ac:dyDescent="0.25">
      <c r="A13" s="695" t="s">
        <v>326</v>
      </c>
      <c r="B13" s="700">
        <f>Datos!K55</f>
        <v>0</v>
      </c>
      <c r="C13" s="700" t="s">
        <v>583</v>
      </c>
      <c r="D13" s="700">
        <f>Datos!K45</f>
        <v>0</v>
      </c>
      <c r="E13" s="700" t="s">
        <v>35</v>
      </c>
      <c r="F13" s="704">
        <f>Datos!K46</f>
        <v>0</v>
      </c>
      <c r="G13" s="700" t="s">
        <v>584</v>
      </c>
      <c r="H13" s="700">
        <f>Datos!K47</f>
        <v>0</v>
      </c>
      <c r="I13" s="700" t="s">
        <v>155</v>
      </c>
      <c r="J13" s="700">
        <f>Datos!K48</f>
        <v>0</v>
      </c>
      <c r="K13" s="700" t="s">
        <v>451</v>
      </c>
      <c r="P13" s="700"/>
      <c r="Q13" s="700"/>
      <c r="R13" s="700"/>
      <c r="S13" s="700"/>
      <c r="T13" s="700"/>
      <c r="U13" s="700"/>
      <c r="V13" s="700"/>
      <c r="W13" s="700"/>
      <c r="X13" s="700"/>
      <c r="Y13" s="700"/>
      <c r="Z13" s="700"/>
      <c r="AA13" s="700"/>
      <c r="AB13" s="722"/>
      <c r="AC13" s="722"/>
      <c r="AD13" s="722"/>
      <c r="AE13" s="722"/>
      <c r="AF13" s="722"/>
      <c r="AG13" s="722"/>
      <c r="AH13" s="722"/>
      <c r="AI13" s="722"/>
      <c r="AJ13" s="722"/>
    </row>
    <row r="14" spans="1:36" ht="25.5" x14ac:dyDescent="0.35">
      <c r="A14" s="700" t="s">
        <v>582</v>
      </c>
      <c r="B14" s="700">
        <f>Datos!K49</f>
        <v>0</v>
      </c>
      <c r="C14" s="700" t="s">
        <v>569</v>
      </c>
      <c r="D14" s="700">
        <f>Datos!K50</f>
        <v>0</v>
      </c>
      <c r="E14" s="700" t="s">
        <v>570</v>
      </c>
      <c r="F14" s="706">
        <f>Datos!K51</f>
        <v>0</v>
      </c>
      <c r="G14" s="700" t="s">
        <v>581</v>
      </c>
      <c r="H14" s="706">
        <f>Datos!K52</f>
        <v>0</v>
      </c>
      <c r="I14" s="700" t="s">
        <v>480</v>
      </c>
      <c r="J14" s="706">
        <f>Datos!K53</f>
        <v>0</v>
      </c>
      <c r="P14" s="725"/>
      <c r="Q14" s="693" t="s">
        <v>626</v>
      </c>
      <c r="R14" s="726"/>
      <c r="S14" s="726"/>
      <c r="T14" s="726"/>
      <c r="U14" s="726"/>
      <c r="V14" s="726"/>
      <c r="W14" s="727"/>
      <c r="X14" s="727"/>
      <c r="Y14" s="727"/>
      <c r="Z14" s="727"/>
      <c r="AA14" s="727"/>
      <c r="AB14" s="728"/>
      <c r="AC14" s="722"/>
      <c r="AD14" s="722"/>
      <c r="AE14" s="722"/>
      <c r="AF14" s="722"/>
      <c r="AG14" s="722"/>
      <c r="AH14" s="722"/>
      <c r="AI14" s="722"/>
      <c r="AJ14" s="722"/>
    </row>
    <row r="15" spans="1:36" x14ac:dyDescent="0.2">
      <c r="A15" s="700" t="s">
        <v>453</v>
      </c>
      <c r="B15" s="700">
        <f>Datos!K44</f>
        <v>0</v>
      </c>
      <c r="P15" s="729"/>
      <c r="Q15" s="727"/>
      <c r="R15" s="727"/>
      <c r="S15" s="727"/>
      <c r="T15" s="727"/>
      <c r="U15" s="727"/>
      <c r="V15" s="727"/>
      <c r="W15" s="727"/>
      <c r="X15" s="727"/>
      <c r="Y15" s="727"/>
      <c r="Z15" s="727"/>
      <c r="AA15" s="727"/>
      <c r="AB15" s="728"/>
      <c r="AC15" s="722"/>
      <c r="AD15" s="722"/>
      <c r="AE15" s="722"/>
      <c r="AF15" s="722"/>
      <c r="AG15" s="722"/>
      <c r="AH15" s="722"/>
      <c r="AI15" s="722"/>
      <c r="AJ15" s="722"/>
    </row>
    <row r="16" spans="1:36" ht="25.5" x14ac:dyDescent="0.35">
      <c r="A16" s="700" t="s">
        <v>585</v>
      </c>
      <c r="B16" s="706" t="str">
        <f>Datos!F130</f>
        <v>CERO CON 00/100</v>
      </c>
      <c r="C16" s="707">
        <f>Datos!H129</f>
        <v>0</v>
      </c>
      <c r="D16" s="700" t="s">
        <v>457</v>
      </c>
      <c r="P16" s="694" t="s">
        <v>627</v>
      </c>
      <c r="Q16" s="727"/>
      <c r="R16" s="727"/>
      <c r="S16" s="727"/>
      <c r="T16" s="727"/>
      <c r="U16" s="727"/>
      <c r="V16" s="727"/>
      <c r="W16" s="727"/>
      <c r="X16" s="727"/>
      <c r="Y16" s="727"/>
      <c r="Z16" s="727"/>
      <c r="AA16" s="727"/>
      <c r="AB16" s="728"/>
      <c r="AC16" s="722"/>
      <c r="AD16" s="722"/>
      <c r="AE16" s="722"/>
      <c r="AF16" s="722"/>
      <c r="AG16" s="722"/>
      <c r="AH16" s="722"/>
      <c r="AI16" s="722"/>
      <c r="AJ16" s="722"/>
    </row>
    <row r="17" spans="1:36" x14ac:dyDescent="0.2">
      <c r="A17" s="700" t="s">
        <v>486</v>
      </c>
      <c r="B17" s="700">
        <f>Datos!K29</f>
        <v>0</v>
      </c>
      <c r="C17" s="700" t="s">
        <v>458</v>
      </c>
      <c r="D17" s="700" t="s">
        <v>325</v>
      </c>
      <c r="E17" s="700" t="str">
        <f>Anexa!D12</f>
        <v>OTRO PROFESIONAL ASUME LA CONSTRUCCION</v>
      </c>
      <c r="F17" s="700" t="str">
        <f>Anexa!G12</f>
        <v>.</v>
      </c>
      <c r="P17" s="700"/>
      <c r="Q17" s="700"/>
      <c r="R17" s="700"/>
      <c r="S17" s="700"/>
      <c r="T17" s="700"/>
      <c r="U17" s="700"/>
      <c r="V17" s="700"/>
      <c r="W17" s="700"/>
      <c r="X17" s="700"/>
      <c r="Y17" s="700"/>
      <c r="Z17" s="700"/>
      <c r="AA17" s="700"/>
      <c r="AB17" s="722"/>
      <c r="AC17" s="722"/>
      <c r="AD17" s="722"/>
      <c r="AE17" s="722"/>
      <c r="AF17" s="722"/>
      <c r="AG17" s="722"/>
      <c r="AH17" s="722"/>
      <c r="AI17" s="722"/>
      <c r="AJ17" s="722"/>
    </row>
    <row r="18" spans="1:36" x14ac:dyDescent="0.2">
      <c r="A18" s="700" t="s">
        <v>437</v>
      </c>
      <c r="B18" s="706"/>
      <c r="C18" s="700">
        <f>Datos!H134</f>
        <v>0</v>
      </c>
      <c r="D18" s="706" t="str">
        <f>Datos!F136</f>
        <v>CERO CON 00/100</v>
      </c>
      <c r="E18" s="700" t="s">
        <v>487</v>
      </c>
      <c r="F18" s="706">
        <f>Datos!H137</f>
        <v>0</v>
      </c>
      <c r="G18" s="706" t="s">
        <v>488</v>
      </c>
      <c r="H18" s="700">
        <f>Datos!H138</f>
        <v>0</v>
      </c>
      <c r="I18" s="700" t="s">
        <v>415</v>
      </c>
      <c r="J18" s="708">
        <f>Datos!$H$139</f>
        <v>0</v>
      </c>
      <c r="K18" s="708"/>
      <c r="L18" s="708"/>
      <c r="M18" s="708"/>
      <c r="N18" s="708"/>
      <c r="O18" s="708"/>
      <c r="P18" s="700"/>
      <c r="Q18" s="700"/>
      <c r="R18" s="700"/>
      <c r="S18" s="700"/>
      <c r="T18" s="700"/>
      <c r="U18" s="700"/>
      <c r="V18" s="700"/>
      <c r="W18" s="708"/>
      <c r="X18" s="708"/>
      <c r="Y18" s="700"/>
      <c r="Z18" s="700"/>
      <c r="AA18" s="700"/>
      <c r="AB18" s="722"/>
      <c r="AC18" s="722"/>
      <c r="AD18" s="722"/>
      <c r="AE18" s="722"/>
      <c r="AF18" s="722"/>
      <c r="AG18" s="722"/>
      <c r="AH18" s="722"/>
      <c r="AI18" s="722"/>
      <c r="AJ18" s="722"/>
    </row>
    <row r="19" spans="1:36" x14ac:dyDescent="0.2">
      <c r="A19" s="700" t="s">
        <v>438</v>
      </c>
      <c r="B19" s="709">
        <f>Datos!K57</f>
        <v>0</v>
      </c>
      <c r="C19" s="709" t="s">
        <v>165</v>
      </c>
      <c r="D19" s="710">
        <f>Datos!K58</f>
        <v>0</v>
      </c>
      <c r="E19" s="710" t="s">
        <v>440</v>
      </c>
      <c r="F19" s="710"/>
      <c r="G19" s="710"/>
      <c r="H19" s="710"/>
      <c r="I19" s="710"/>
      <c r="J19" s="710"/>
      <c r="K19" s="710"/>
      <c r="L19" s="710"/>
      <c r="M19" s="710"/>
      <c r="N19" s="710"/>
      <c r="O19" s="710"/>
      <c r="P19" s="724"/>
      <c r="Q19" s="724"/>
      <c r="R19" s="724"/>
      <c r="S19" s="724"/>
      <c r="T19" s="724"/>
      <c r="U19" s="724"/>
      <c r="V19" s="724"/>
      <c r="W19" s="700"/>
      <c r="X19" s="700"/>
      <c r="Y19" s="700"/>
      <c r="Z19" s="700"/>
      <c r="AA19" s="700"/>
      <c r="AB19" s="722"/>
      <c r="AC19" s="722"/>
      <c r="AD19" s="722"/>
      <c r="AE19" s="722"/>
      <c r="AF19" s="722"/>
      <c r="AG19" s="722"/>
      <c r="AH19" s="722"/>
      <c r="AI19" s="722"/>
      <c r="AJ19" s="722"/>
    </row>
    <row r="20" spans="1:36" x14ac:dyDescent="0.2">
      <c r="A20" s="700" t="s">
        <v>460</v>
      </c>
      <c r="P20" s="700"/>
      <c r="Q20" s="700"/>
      <c r="R20" s="700"/>
      <c r="S20" s="700"/>
      <c r="T20" s="700"/>
      <c r="U20" s="700"/>
      <c r="V20" s="700"/>
      <c r="W20" s="700"/>
      <c r="X20" s="700"/>
      <c r="Y20" s="700"/>
      <c r="Z20" s="700"/>
      <c r="AA20" s="700"/>
      <c r="AB20" s="722"/>
      <c r="AC20" s="722"/>
      <c r="AD20" s="722"/>
      <c r="AE20" s="722"/>
      <c r="AF20" s="722"/>
      <c r="AG20" s="722"/>
      <c r="AH20" s="722"/>
      <c r="AI20" s="722"/>
      <c r="AJ20" s="722"/>
    </row>
    <row r="21" spans="1:36" x14ac:dyDescent="0.2">
      <c r="A21" s="700" t="s">
        <v>441</v>
      </c>
      <c r="P21" s="700"/>
      <c r="Q21" s="700"/>
      <c r="R21" s="700"/>
      <c r="S21" s="700"/>
      <c r="T21" s="700"/>
      <c r="U21" s="700"/>
      <c r="V21" s="700"/>
      <c r="W21" s="700"/>
      <c r="X21" s="700"/>
      <c r="Y21" s="700"/>
      <c r="Z21" s="700"/>
      <c r="AA21" s="700"/>
      <c r="AB21" s="722"/>
      <c r="AC21" s="722"/>
      <c r="AD21" s="722"/>
      <c r="AE21" s="722"/>
      <c r="AF21" s="722"/>
      <c r="AG21" s="722"/>
      <c r="AH21" s="722"/>
      <c r="AI21" s="722"/>
      <c r="AJ21" s="722"/>
    </row>
    <row r="22" spans="1:36" x14ac:dyDescent="0.2">
      <c r="A22" s="700" t="s">
        <v>459</v>
      </c>
      <c r="P22" s="700"/>
      <c r="Q22" s="700"/>
      <c r="R22" s="700"/>
      <c r="S22" s="700"/>
      <c r="T22" s="700"/>
      <c r="U22" s="700"/>
      <c r="V22" s="700"/>
      <c r="W22" s="700"/>
      <c r="X22" s="700"/>
      <c r="Y22" s="700"/>
      <c r="Z22" s="700"/>
      <c r="AA22" s="700"/>
      <c r="AB22" s="722"/>
      <c r="AC22" s="722"/>
      <c r="AD22" s="722"/>
      <c r="AE22" s="722"/>
      <c r="AF22" s="722"/>
      <c r="AG22" s="722"/>
      <c r="AH22" s="722"/>
      <c r="AI22" s="722"/>
      <c r="AJ22" s="722"/>
    </row>
    <row r="23" spans="1:36" x14ac:dyDescent="0.2">
      <c r="A23" s="701" t="s">
        <v>442</v>
      </c>
      <c r="P23" s="700"/>
      <c r="Q23" s="700"/>
      <c r="R23" s="700"/>
      <c r="S23" s="700"/>
      <c r="T23" s="700"/>
      <c r="U23" s="700"/>
      <c r="V23" s="700"/>
      <c r="W23" s="700"/>
      <c r="X23" s="700"/>
      <c r="Y23" s="700"/>
      <c r="Z23" s="700"/>
      <c r="AA23" s="700"/>
      <c r="AB23" s="722"/>
      <c r="AC23" s="722"/>
      <c r="AD23" s="722"/>
      <c r="AE23" s="722"/>
      <c r="AF23" s="722"/>
      <c r="AG23" s="722"/>
      <c r="AH23" s="722"/>
      <c r="AI23" s="722"/>
      <c r="AJ23" s="722"/>
    </row>
    <row r="24" spans="1:36" x14ac:dyDescent="0.2">
      <c r="A24" s="700" t="s">
        <v>443</v>
      </c>
      <c r="P24" s="700"/>
      <c r="Q24" s="700"/>
      <c r="R24" s="700"/>
      <c r="S24" s="700"/>
      <c r="T24" s="700"/>
      <c r="U24" s="700"/>
      <c r="V24" s="700"/>
      <c r="W24" s="700"/>
      <c r="X24" s="700"/>
      <c r="Y24" s="700"/>
      <c r="Z24" s="700"/>
      <c r="AA24" s="700"/>
      <c r="AB24" s="722"/>
      <c r="AC24" s="722"/>
      <c r="AD24" s="722"/>
      <c r="AE24" s="722"/>
      <c r="AF24" s="722"/>
      <c r="AG24" s="722"/>
      <c r="AH24" s="722"/>
      <c r="AI24" s="722"/>
      <c r="AJ24" s="722"/>
    </row>
    <row r="25" spans="1:36" x14ac:dyDescent="0.2">
      <c r="A25" s="700" t="s">
        <v>187</v>
      </c>
      <c r="P25" s="700"/>
      <c r="Q25" s="700"/>
      <c r="R25" s="700"/>
      <c r="S25" s="700"/>
      <c r="T25" s="700"/>
      <c r="U25" s="700"/>
      <c r="V25" s="700"/>
      <c r="W25" s="700"/>
      <c r="X25" s="700"/>
      <c r="Y25" s="700"/>
      <c r="Z25" s="700"/>
      <c r="AA25" s="700"/>
      <c r="AB25" s="722"/>
      <c r="AC25" s="722"/>
      <c r="AD25" s="722"/>
      <c r="AE25" s="722"/>
      <c r="AF25" s="722"/>
      <c r="AG25" s="722"/>
      <c r="AH25" s="722"/>
      <c r="AI25" s="722"/>
      <c r="AJ25" s="722"/>
    </row>
    <row r="26" spans="1:36" x14ac:dyDescent="0.2">
      <c r="A26" s="700" t="s">
        <v>188</v>
      </c>
      <c r="P26" s="700"/>
      <c r="Q26" s="700"/>
      <c r="R26" s="700"/>
      <c r="S26" s="700"/>
      <c r="T26" s="700"/>
      <c r="U26" s="700"/>
      <c r="V26" s="700"/>
      <c r="W26" s="700"/>
      <c r="X26" s="700"/>
      <c r="Y26" s="700"/>
      <c r="Z26" s="700"/>
      <c r="AA26" s="700"/>
      <c r="AB26" s="722"/>
      <c r="AC26" s="722"/>
      <c r="AD26" s="722"/>
      <c r="AE26" s="722"/>
      <c r="AF26" s="722"/>
      <c r="AG26" s="722"/>
      <c r="AH26" s="722"/>
      <c r="AI26" s="722"/>
      <c r="AJ26" s="722"/>
    </row>
    <row r="27" spans="1:36" x14ac:dyDescent="0.2">
      <c r="A27" s="700" t="s">
        <v>444</v>
      </c>
      <c r="P27" s="700"/>
      <c r="Q27" s="700"/>
      <c r="R27" s="700"/>
      <c r="S27" s="700"/>
      <c r="T27" s="700"/>
      <c r="U27" s="700"/>
      <c r="V27" s="700"/>
      <c r="W27" s="700"/>
      <c r="X27" s="700"/>
      <c r="Y27" s="700"/>
      <c r="Z27" s="700"/>
      <c r="AA27" s="700"/>
      <c r="AB27" s="722"/>
      <c r="AC27" s="722"/>
      <c r="AD27" s="722"/>
      <c r="AE27" s="722"/>
      <c r="AF27" s="722"/>
      <c r="AG27" s="722"/>
      <c r="AH27" s="722"/>
      <c r="AI27" s="722"/>
      <c r="AJ27" s="722"/>
    </row>
    <row r="28" spans="1:36" x14ac:dyDescent="0.2">
      <c r="A28" s="700" t="s">
        <v>445</v>
      </c>
      <c r="B28" s="700">
        <f>Datos!K60</f>
        <v>0</v>
      </c>
      <c r="C28" s="700" t="s">
        <v>446</v>
      </c>
      <c r="P28" s="700"/>
      <c r="Q28" s="700"/>
      <c r="R28" s="700"/>
      <c r="S28" s="700"/>
      <c r="T28" s="700"/>
      <c r="U28" s="700"/>
      <c r="V28" s="700"/>
      <c r="W28" s="700"/>
      <c r="X28" s="700"/>
      <c r="Y28" s="700"/>
      <c r="Z28" s="700"/>
      <c r="AA28" s="700"/>
      <c r="AB28" s="722"/>
      <c r="AC28" s="722"/>
      <c r="AD28" s="722"/>
      <c r="AE28" s="722"/>
      <c r="AF28" s="722"/>
      <c r="AG28" s="722"/>
      <c r="AH28" s="722"/>
      <c r="AI28" s="722"/>
      <c r="AJ28" s="722"/>
    </row>
    <row r="29" spans="1:36" x14ac:dyDescent="0.2">
      <c r="A29" s="700" t="s">
        <v>447</v>
      </c>
      <c r="B29" s="700">
        <f>Datos!K59</f>
        <v>0</v>
      </c>
      <c r="P29" s="700"/>
      <c r="Q29" s="700"/>
      <c r="R29" s="700"/>
      <c r="S29" s="700"/>
      <c r="T29" s="700"/>
      <c r="U29" s="700"/>
      <c r="V29" s="700"/>
      <c r="W29" s="700"/>
      <c r="X29" s="700"/>
      <c r="Y29" s="700"/>
      <c r="Z29" s="700"/>
      <c r="AA29" s="700"/>
      <c r="AB29" s="722"/>
      <c r="AC29" s="722"/>
      <c r="AD29" s="722"/>
      <c r="AE29" s="722"/>
      <c r="AF29" s="722"/>
      <c r="AG29" s="722"/>
      <c r="AH29" s="722"/>
      <c r="AI29" s="722"/>
      <c r="AJ29" s="722"/>
    </row>
    <row r="30" spans="1:36" x14ac:dyDescent="0.2">
      <c r="A30" s="711" t="s">
        <v>448</v>
      </c>
      <c r="B30" s="711" t="s">
        <v>161</v>
      </c>
      <c r="P30" s="700"/>
      <c r="Q30" s="700"/>
      <c r="R30" s="700"/>
      <c r="S30" s="700"/>
      <c r="T30" s="700"/>
      <c r="U30" s="700"/>
      <c r="V30" s="700"/>
      <c r="W30" s="700"/>
      <c r="X30" s="700"/>
      <c r="Y30" s="700"/>
      <c r="Z30" s="700"/>
      <c r="AA30" s="700"/>
      <c r="AB30" s="722"/>
      <c r="AC30" s="722"/>
      <c r="AD30" s="722"/>
      <c r="AE30" s="722"/>
      <c r="AF30" s="722"/>
      <c r="AG30" s="722"/>
      <c r="AH30" s="722"/>
      <c r="AI30" s="722"/>
      <c r="AJ30" s="722"/>
    </row>
    <row r="31" spans="1:36" x14ac:dyDescent="0.2">
      <c r="A31" s="712">
        <f>Datos!K29</f>
        <v>0</v>
      </c>
      <c r="B31" s="713">
        <f>Datos!K18</f>
        <v>0</v>
      </c>
      <c r="D31" s="701"/>
      <c r="P31" s="700"/>
      <c r="Q31" s="700"/>
      <c r="R31" s="700"/>
      <c r="S31" s="700"/>
      <c r="T31" s="700"/>
      <c r="U31" s="700"/>
      <c r="V31" s="700"/>
      <c r="W31" s="700"/>
      <c r="X31" s="700"/>
      <c r="Y31" s="700"/>
      <c r="Z31" s="700"/>
      <c r="AA31" s="700"/>
      <c r="AB31" s="722"/>
      <c r="AC31" s="722"/>
      <c r="AD31" s="722"/>
      <c r="AE31" s="722"/>
      <c r="AF31" s="722"/>
      <c r="AG31" s="722"/>
      <c r="AH31" s="722"/>
      <c r="AI31" s="722"/>
      <c r="AJ31" s="722"/>
    </row>
    <row r="32" spans="1:36" x14ac:dyDescent="0.2">
      <c r="A32" s="712" t="s">
        <v>317</v>
      </c>
      <c r="B32" s="714">
        <f>Datos!K31</f>
        <v>0</v>
      </c>
      <c r="C32" s="713" t="s">
        <v>182</v>
      </c>
      <c r="D32" s="701">
        <f>Datos!K25</f>
        <v>0</v>
      </c>
      <c r="P32" s="700"/>
      <c r="Q32" s="700"/>
      <c r="R32" s="700"/>
      <c r="S32" s="700"/>
      <c r="T32" s="700"/>
      <c r="U32" s="700"/>
      <c r="V32" s="700"/>
      <c r="W32" s="700"/>
      <c r="X32" s="700"/>
      <c r="Y32" s="700"/>
      <c r="Z32" s="700"/>
      <c r="AA32" s="700"/>
      <c r="AB32" s="722"/>
      <c r="AC32" s="722"/>
      <c r="AD32" s="722"/>
      <c r="AE32" s="722"/>
      <c r="AF32" s="722"/>
      <c r="AG32" s="722"/>
      <c r="AH32" s="722"/>
      <c r="AI32" s="722"/>
      <c r="AJ32" s="722"/>
    </row>
    <row r="33" spans="16:36" x14ac:dyDescent="0.2">
      <c r="P33" s="700"/>
      <c r="Q33" s="700"/>
      <c r="R33" s="700"/>
      <c r="S33" s="700"/>
      <c r="T33" s="700"/>
      <c r="U33" s="700"/>
      <c r="V33" s="700"/>
      <c r="W33" s="700"/>
      <c r="X33" s="700"/>
      <c r="Y33" s="700"/>
      <c r="Z33" s="700"/>
      <c r="AA33" s="700"/>
      <c r="AB33" s="722"/>
      <c r="AC33" s="722"/>
      <c r="AD33" s="722"/>
      <c r="AE33" s="722"/>
      <c r="AF33" s="722"/>
      <c r="AG33" s="722"/>
      <c r="AH33" s="722"/>
      <c r="AI33" s="722"/>
      <c r="AJ33" s="722"/>
    </row>
    <row r="34" spans="16:36" x14ac:dyDescent="0.2">
      <c r="P34" s="700"/>
      <c r="Q34" s="700"/>
      <c r="R34" s="700"/>
      <c r="S34" s="700"/>
      <c r="T34" s="700"/>
      <c r="U34" s="700"/>
      <c r="V34" s="700"/>
      <c r="W34" s="700"/>
      <c r="X34" s="700"/>
      <c r="Y34" s="700"/>
      <c r="Z34" s="700"/>
      <c r="AA34" s="700"/>
      <c r="AB34" s="722"/>
      <c r="AC34" s="722"/>
      <c r="AD34" s="722"/>
      <c r="AE34" s="722"/>
      <c r="AF34" s="722"/>
      <c r="AG34" s="722"/>
      <c r="AH34" s="722"/>
      <c r="AI34" s="722"/>
      <c r="AJ34" s="722"/>
    </row>
    <row r="35" spans="16:36" x14ac:dyDescent="0.2">
      <c r="P35" s="700"/>
      <c r="Q35" s="700"/>
      <c r="R35" s="700"/>
      <c r="S35" s="700"/>
      <c r="T35" s="700"/>
      <c r="U35" s="700"/>
      <c r="V35" s="700"/>
      <c r="W35" s="700"/>
      <c r="X35" s="700"/>
      <c r="Y35" s="700"/>
      <c r="Z35" s="700"/>
      <c r="AA35" s="700"/>
      <c r="AB35" s="722"/>
      <c r="AC35" s="722"/>
      <c r="AD35" s="722"/>
      <c r="AE35" s="722"/>
      <c r="AF35" s="722"/>
      <c r="AG35" s="722"/>
      <c r="AH35" s="722"/>
      <c r="AI35" s="722"/>
      <c r="AJ35" s="722"/>
    </row>
    <row r="36" spans="16:36" x14ac:dyDescent="0.2">
      <c r="P36" s="700"/>
      <c r="Q36" s="700"/>
      <c r="R36" s="700"/>
      <c r="S36" s="700"/>
      <c r="T36" s="700"/>
      <c r="U36" s="700"/>
      <c r="V36" s="700"/>
      <c r="W36" s="700"/>
      <c r="X36" s="700"/>
      <c r="Y36" s="700"/>
      <c r="Z36" s="700"/>
      <c r="AA36" s="700"/>
      <c r="AB36" s="722"/>
      <c r="AC36" s="722"/>
      <c r="AD36" s="722"/>
      <c r="AE36" s="722"/>
      <c r="AF36" s="722"/>
      <c r="AG36" s="722"/>
      <c r="AH36" s="722"/>
      <c r="AI36" s="722"/>
      <c r="AJ36" s="722"/>
    </row>
    <row r="37" spans="16:36" x14ac:dyDescent="0.2">
      <c r="P37" s="700"/>
      <c r="Q37" s="700"/>
      <c r="R37" s="700"/>
      <c r="S37" s="700"/>
      <c r="T37" s="700"/>
      <c r="U37" s="700"/>
      <c r="V37" s="700"/>
      <c r="W37" s="700"/>
      <c r="X37" s="700"/>
      <c r="Y37" s="700"/>
      <c r="Z37" s="700"/>
      <c r="AA37" s="700"/>
      <c r="AB37" s="722"/>
      <c r="AC37" s="722"/>
      <c r="AD37" s="722"/>
      <c r="AE37" s="722"/>
      <c r="AF37" s="722"/>
      <c r="AG37" s="722"/>
      <c r="AH37" s="722"/>
      <c r="AI37" s="722"/>
      <c r="AJ37" s="722"/>
    </row>
    <row r="38" spans="16:36" x14ac:dyDescent="0.2">
      <c r="P38" s="700"/>
      <c r="Q38" s="700"/>
      <c r="R38" s="700"/>
      <c r="S38" s="700"/>
      <c r="T38" s="700"/>
      <c r="U38" s="700"/>
      <c r="V38" s="700"/>
      <c r="W38" s="700"/>
      <c r="X38" s="700"/>
      <c r="Y38" s="700"/>
      <c r="Z38" s="700"/>
      <c r="AA38" s="700"/>
      <c r="AB38" s="722"/>
      <c r="AC38" s="722"/>
      <c r="AD38" s="722"/>
      <c r="AE38" s="722"/>
      <c r="AF38" s="722"/>
      <c r="AG38" s="722"/>
      <c r="AH38" s="722"/>
      <c r="AI38" s="722"/>
      <c r="AJ38" s="722"/>
    </row>
    <row r="39" spans="16:36" x14ac:dyDescent="0.2">
      <c r="P39" s="700"/>
      <c r="Q39" s="700"/>
      <c r="R39" s="700"/>
      <c r="S39" s="700"/>
      <c r="T39" s="700"/>
      <c r="U39" s="700"/>
      <c r="V39" s="700"/>
      <c r="W39" s="700"/>
      <c r="X39" s="700"/>
      <c r="Y39" s="700"/>
      <c r="Z39" s="700"/>
      <c r="AA39" s="700"/>
      <c r="AB39" s="722"/>
      <c r="AC39" s="722"/>
      <c r="AD39" s="722"/>
      <c r="AE39" s="722"/>
      <c r="AF39" s="722"/>
      <c r="AG39" s="722"/>
      <c r="AH39" s="722"/>
      <c r="AI39" s="722"/>
      <c r="AJ39" s="722"/>
    </row>
    <row r="40" spans="16:36" x14ac:dyDescent="0.2">
      <c r="P40" s="700"/>
      <c r="Q40" s="700"/>
      <c r="R40" s="700"/>
      <c r="S40" s="700"/>
      <c r="T40" s="700"/>
      <c r="U40" s="700"/>
      <c r="V40" s="700"/>
      <c r="W40" s="700"/>
      <c r="X40" s="700"/>
      <c r="Y40" s="700"/>
      <c r="Z40" s="700"/>
      <c r="AA40" s="700"/>
      <c r="AB40" s="722"/>
      <c r="AC40" s="722"/>
      <c r="AD40" s="722"/>
      <c r="AE40" s="722"/>
      <c r="AF40" s="722"/>
      <c r="AG40" s="722"/>
      <c r="AH40" s="722"/>
      <c r="AI40" s="722"/>
      <c r="AJ40" s="722"/>
    </row>
    <row r="41" spans="16:36" x14ac:dyDescent="0.2">
      <c r="P41" s="700"/>
      <c r="Q41" s="700"/>
      <c r="R41" s="700"/>
      <c r="S41" s="700"/>
      <c r="T41" s="700"/>
      <c r="U41" s="700"/>
      <c r="V41" s="700"/>
      <c r="W41" s="700"/>
      <c r="X41" s="700"/>
      <c r="Y41" s="700"/>
      <c r="Z41" s="700"/>
      <c r="AA41" s="700"/>
      <c r="AB41" s="722"/>
      <c r="AC41" s="722"/>
      <c r="AD41" s="722"/>
      <c r="AE41" s="722"/>
      <c r="AF41" s="722"/>
      <c r="AG41" s="722"/>
      <c r="AH41" s="722"/>
      <c r="AI41" s="722"/>
      <c r="AJ41" s="722"/>
    </row>
    <row r="42" spans="16:36" x14ac:dyDescent="0.2">
      <c r="P42" s="700"/>
      <c r="Q42" s="700"/>
      <c r="R42" s="700"/>
      <c r="S42" s="700"/>
      <c r="T42" s="700"/>
      <c r="U42" s="700"/>
      <c r="V42" s="700"/>
      <c r="W42" s="700"/>
      <c r="X42" s="700"/>
      <c r="Y42" s="700"/>
      <c r="Z42" s="700"/>
      <c r="AA42" s="700"/>
      <c r="AB42" s="722"/>
      <c r="AC42" s="722"/>
      <c r="AD42" s="722"/>
      <c r="AE42" s="722"/>
      <c r="AF42" s="722"/>
      <c r="AG42" s="722"/>
      <c r="AH42" s="722"/>
      <c r="AI42" s="722"/>
      <c r="AJ42" s="722"/>
    </row>
    <row r="43" spans="16:36" x14ac:dyDescent="0.2">
      <c r="P43" s="700"/>
      <c r="Q43" s="700"/>
      <c r="R43" s="700"/>
      <c r="S43" s="700"/>
      <c r="T43" s="700"/>
      <c r="U43" s="700"/>
      <c r="V43" s="700"/>
      <c r="W43" s="700"/>
      <c r="X43" s="700"/>
      <c r="Y43" s="700"/>
      <c r="Z43" s="700"/>
      <c r="AA43" s="700"/>
      <c r="AB43" s="722"/>
      <c r="AC43" s="722"/>
      <c r="AD43" s="722"/>
      <c r="AE43" s="722"/>
      <c r="AF43" s="722"/>
      <c r="AG43" s="722"/>
      <c r="AH43" s="722"/>
      <c r="AI43" s="722"/>
      <c r="AJ43" s="722"/>
    </row>
    <row r="44" spans="16:36" x14ac:dyDescent="0.2">
      <c r="P44" s="700"/>
      <c r="Q44" s="700"/>
      <c r="R44" s="700"/>
      <c r="S44" s="700"/>
      <c r="T44" s="700"/>
      <c r="U44" s="700"/>
      <c r="V44" s="700"/>
      <c r="W44" s="700"/>
      <c r="X44" s="700"/>
      <c r="Y44" s="700"/>
      <c r="Z44" s="700"/>
      <c r="AA44" s="700"/>
      <c r="AB44" s="722"/>
      <c r="AC44" s="722"/>
      <c r="AD44" s="722"/>
      <c r="AE44" s="722"/>
      <c r="AF44" s="722"/>
      <c r="AG44" s="722"/>
      <c r="AH44" s="722"/>
      <c r="AI44" s="722"/>
      <c r="AJ44" s="722"/>
    </row>
    <row r="45" spans="16:36" x14ac:dyDescent="0.2">
      <c r="P45" s="700"/>
      <c r="Q45" s="700"/>
      <c r="R45" s="700"/>
      <c r="S45" s="700"/>
      <c r="T45" s="700"/>
      <c r="U45" s="700"/>
      <c r="V45" s="700"/>
      <c r="W45" s="700"/>
      <c r="X45" s="700"/>
      <c r="Y45" s="700"/>
      <c r="Z45" s="700"/>
      <c r="AA45" s="700"/>
      <c r="AB45" s="722"/>
      <c r="AC45" s="722"/>
      <c r="AD45" s="722"/>
      <c r="AE45" s="722"/>
      <c r="AF45" s="722"/>
      <c r="AG45" s="722"/>
      <c r="AH45" s="722"/>
      <c r="AI45" s="722"/>
      <c r="AJ45" s="722"/>
    </row>
    <row r="46" spans="16:36" x14ac:dyDescent="0.2">
      <c r="P46" s="700"/>
      <c r="Q46" s="700"/>
      <c r="R46" s="700"/>
      <c r="S46" s="700"/>
      <c r="T46" s="700"/>
      <c r="U46" s="700"/>
      <c r="V46" s="700"/>
      <c r="W46" s="700"/>
      <c r="X46" s="700"/>
      <c r="Y46" s="700"/>
      <c r="Z46" s="700"/>
      <c r="AA46" s="700"/>
      <c r="AB46" s="722"/>
      <c r="AC46" s="722"/>
      <c r="AD46" s="722"/>
      <c r="AE46" s="722"/>
      <c r="AF46" s="722"/>
      <c r="AG46" s="722"/>
      <c r="AH46" s="722"/>
      <c r="AI46" s="722"/>
      <c r="AJ46" s="722"/>
    </row>
    <row r="47" spans="16:36" x14ac:dyDescent="0.2">
      <c r="P47" s="700"/>
      <c r="Q47" s="700"/>
      <c r="R47" s="700"/>
      <c r="S47" s="700"/>
      <c r="T47" s="700"/>
      <c r="U47" s="700"/>
      <c r="V47" s="700"/>
      <c r="W47" s="700"/>
      <c r="X47" s="700"/>
      <c r="Y47" s="700"/>
      <c r="Z47" s="700"/>
      <c r="AA47" s="700"/>
      <c r="AB47" s="722"/>
      <c r="AC47" s="722"/>
      <c r="AD47" s="722"/>
      <c r="AE47" s="722"/>
      <c r="AF47" s="722"/>
      <c r="AG47" s="722"/>
      <c r="AH47" s="722"/>
      <c r="AI47" s="722"/>
      <c r="AJ47" s="722"/>
    </row>
    <row r="48" spans="16:36" x14ac:dyDescent="0.2">
      <c r="P48" s="700"/>
      <c r="Q48" s="700"/>
      <c r="R48" s="700"/>
      <c r="S48" s="700"/>
      <c r="T48" s="700"/>
      <c r="U48" s="700"/>
      <c r="V48" s="700"/>
      <c r="W48" s="700"/>
      <c r="X48" s="700"/>
      <c r="Y48" s="700"/>
      <c r="Z48" s="700"/>
      <c r="AA48" s="700"/>
      <c r="AB48" s="722"/>
      <c r="AC48" s="722"/>
      <c r="AD48" s="722"/>
      <c r="AE48" s="722"/>
      <c r="AF48" s="722"/>
      <c r="AG48" s="722"/>
      <c r="AH48" s="722"/>
      <c r="AI48" s="722"/>
      <c r="AJ48" s="722"/>
    </row>
    <row r="49" spans="16:36" x14ac:dyDescent="0.2">
      <c r="P49" s="700"/>
      <c r="Q49" s="700"/>
      <c r="R49" s="700"/>
      <c r="S49" s="700"/>
      <c r="T49" s="700"/>
      <c r="U49" s="700"/>
      <c r="V49" s="700"/>
      <c r="W49" s="700"/>
      <c r="X49" s="700"/>
      <c r="Y49" s="700"/>
      <c r="Z49" s="700"/>
      <c r="AA49" s="700"/>
      <c r="AB49" s="722"/>
      <c r="AC49" s="722"/>
      <c r="AD49" s="722"/>
      <c r="AE49" s="722"/>
      <c r="AF49" s="722"/>
      <c r="AG49" s="722"/>
      <c r="AH49" s="722"/>
      <c r="AI49" s="722"/>
      <c r="AJ49" s="722"/>
    </row>
    <row r="50" spans="16:36" x14ac:dyDescent="0.2">
      <c r="P50" s="700"/>
      <c r="Q50" s="700"/>
      <c r="R50" s="700"/>
      <c r="S50" s="700"/>
      <c r="T50" s="700"/>
      <c r="U50" s="700"/>
      <c r="V50" s="700"/>
      <c r="W50" s="700"/>
      <c r="X50" s="700"/>
      <c r="Y50" s="700"/>
      <c r="Z50" s="700"/>
      <c r="AA50" s="700"/>
      <c r="AB50" s="722"/>
      <c r="AC50" s="722"/>
      <c r="AD50" s="722"/>
      <c r="AE50" s="722"/>
      <c r="AF50" s="722"/>
      <c r="AG50" s="722"/>
      <c r="AH50" s="722"/>
      <c r="AI50" s="722"/>
      <c r="AJ50" s="722"/>
    </row>
    <row r="51" spans="16:36" x14ac:dyDescent="0.2">
      <c r="P51" s="700"/>
      <c r="Q51" s="700"/>
      <c r="R51" s="700"/>
      <c r="S51" s="700"/>
      <c r="T51" s="700"/>
      <c r="U51" s="700"/>
      <c r="V51" s="700"/>
      <c r="W51" s="700"/>
      <c r="X51" s="700"/>
      <c r="Y51" s="700"/>
      <c r="Z51" s="700"/>
      <c r="AA51" s="700"/>
      <c r="AB51" s="722"/>
      <c r="AC51" s="722"/>
      <c r="AD51" s="722"/>
      <c r="AE51" s="722"/>
      <c r="AF51" s="722"/>
      <c r="AG51" s="722"/>
      <c r="AH51" s="722"/>
      <c r="AI51" s="722"/>
      <c r="AJ51" s="722"/>
    </row>
    <row r="52" spans="16:36" x14ac:dyDescent="0.2">
      <c r="P52" s="700"/>
      <c r="Q52" s="700"/>
      <c r="R52" s="700"/>
      <c r="S52" s="700"/>
      <c r="T52" s="700"/>
      <c r="U52" s="700"/>
      <c r="V52" s="700"/>
      <c r="W52" s="700"/>
      <c r="X52" s="700"/>
      <c r="Y52" s="700"/>
      <c r="Z52" s="700"/>
      <c r="AA52" s="700"/>
      <c r="AB52" s="722"/>
      <c r="AC52" s="722"/>
      <c r="AD52" s="722"/>
      <c r="AE52" s="722"/>
      <c r="AF52" s="722"/>
      <c r="AG52" s="722"/>
      <c r="AH52" s="722"/>
      <c r="AI52" s="722"/>
      <c r="AJ52" s="722"/>
    </row>
    <row r="53" spans="16:36" x14ac:dyDescent="0.2">
      <c r="P53" s="700"/>
      <c r="Q53" s="700"/>
      <c r="R53" s="700"/>
      <c r="S53" s="700"/>
      <c r="T53" s="700"/>
      <c r="U53" s="700"/>
      <c r="V53" s="700"/>
      <c r="W53" s="700"/>
      <c r="X53" s="700"/>
      <c r="Y53" s="700"/>
      <c r="Z53" s="700"/>
      <c r="AA53" s="700"/>
      <c r="AB53" s="722"/>
      <c r="AC53" s="722"/>
      <c r="AD53" s="722"/>
      <c r="AE53" s="722"/>
      <c r="AF53" s="722"/>
      <c r="AG53" s="722"/>
      <c r="AH53" s="722"/>
      <c r="AI53" s="722"/>
      <c r="AJ53" s="722"/>
    </row>
    <row r="54" spans="16:36" x14ac:dyDescent="0.2">
      <c r="P54" s="700"/>
      <c r="Q54" s="700"/>
      <c r="R54" s="700"/>
      <c r="S54" s="700"/>
      <c r="T54" s="700"/>
      <c r="U54" s="700"/>
      <c r="V54" s="700"/>
      <c r="W54" s="700"/>
      <c r="X54" s="700"/>
      <c r="Y54" s="700"/>
      <c r="Z54" s="700"/>
      <c r="AA54" s="700"/>
      <c r="AB54" s="722"/>
      <c r="AC54" s="722"/>
      <c r="AD54" s="722"/>
      <c r="AE54" s="722"/>
      <c r="AF54" s="722"/>
      <c r="AG54" s="722"/>
      <c r="AH54" s="722"/>
      <c r="AI54" s="722"/>
      <c r="AJ54" s="722"/>
    </row>
    <row r="55" spans="16:36" x14ac:dyDescent="0.2">
      <c r="P55" s="700"/>
      <c r="Q55" s="700"/>
      <c r="R55" s="700"/>
      <c r="S55" s="700"/>
      <c r="T55" s="700"/>
      <c r="U55" s="700"/>
      <c r="V55" s="700"/>
      <c r="W55" s="700"/>
      <c r="X55" s="700"/>
      <c r="Y55" s="700"/>
      <c r="Z55" s="700"/>
      <c r="AA55" s="700"/>
      <c r="AB55" s="722"/>
      <c r="AC55" s="722"/>
      <c r="AD55" s="722"/>
      <c r="AE55" s="722"/>
      <c r="AF55" s="722"/>
      <c r="AG55" s="722"/>
      <c r="AH55" s="722"/>
      <c r="AI55" s="722"/>
      <c r="AJ55" s="722"/>
    </row>
    <row r="56" spans="16:36" x14ac:dyDescent="0.2">
      <c r="P56" s="700"/>
      <c r="Q56" s="700"/>
      <c r="R56" s="700"/>
      <c r="S56" s="700"/>
      <c r="T56" s="700"/>
      <c r="U56" s="700"/>
      <c r="V56" s="700"/>
      <c r="W56" s="700"/>
      <c r="X56" s="700"/>
      <c r="Y56" s="700"/>
      <c r="Z56" s="700"/>
      <c r="AA56" s="700"/>
      <c r="AB56" s="722"/>
      <c r="AC56" s="722"/>
      <c r="AD56" s="722"/>
      <c r="AE56" s="722"/>
      <c r="AF56" s="722"/>
      <c r="AG56" s="722"/>
      <c r="AH56" s="722"/>
      <c r="AI56" s="722"/>
      <c r="AJ56" s="722"/>
    </row>
    <row r="57" spans="16:36" x14ac:dyDescent="0.2">
      <c r="P57" s="700"/>
      <c r="Q57" s="700"/>
      <c r="R57" s="700"/>
      <c r="S57" s="700"/>
      <c r="T57" s="700"/>
      <c r="U57" s="700"/>
      <c r="V57" s="700"/>
      <c r="W57" s="700"/>
      <c r="X57" s="700"/>
      <c r="Y57" s="700"/>
      <c r="Z57" s="700"/>
      <c r="AA57" s="700"/>
      <c r="AB57" s="722"/>
      <c r="AC57" s="722"/>
      <c r="AD57" s="722"/>
      <c r="AE57" s="722"/>
      <c r="AF57" s="722"/>
      <c r="AG57" s="722"/>
      <c r="AH57" s="722"/>
      <c r="AI57" s="722"/>
      <c r="AJ57" s="722"/>
    </row>
    <row r="58" spans="16:36" x14ac:dyDescent="0.2">
      <c r="P58" s="700"/>
      <c r="Q58" s="700"/>
      <c r="R58" s="700"/>
      <c r="S58" s="700"/>
      <c r="T58" s="700"/>
      <c r="U58" s="700"/>
      <c r="V58" s="700"/>
      <c r="W58" s="700"/>
      <c r="X58" s="700"/>
      <c r="Y58" s="700"/>
      <c r="Z58" s="700"/>
      <c r="AA58" s="700"/>
      <c r="AB58" s="722"/>
      <c r="AC58" s="722"/>
      <c r="AD58" s="722"/>
      <c r="AE58" s="722"/>
      <c r="AF58" s="722"/>
      <c r="AG58" s="722"/>
      <c r="AH58" s="722"/>
      <c r="AI58" s="722"/>
      <c r="AJ58" s="722"/>
    </row>
    <row r="59" spans="16:36" x14ac:dyDescent="0.2">
      <c r="P59" s="700"/>
      <c r="Q59" s="700"/>
      <c r="R59" s="700"/>
      <c r="S59" s="700"/>
      <c r="T59" s="700"/>
      <c r="U59" s="700"/>
      <c r="V59" s="700"/>
      <c r="W59" s="700"/>
      <c r="X59" s="700"/>
      <c r="Y59" s="700"/>
      <c r="Z59" s="700"/>
      <c r="AA59" s="700"/>
      <c r="AB59" s="722"/>
      <c r="AC59" s="722"/>
      <c r="AD59" s="722"/>
      <c r="AE59" s="722"/>
      <c r="AF59" s="722"/>
      <c r="AG59" s="722"/>
      <c r="AH59" s="722"/>
      <c r="AI59" s="722"/>
      <c r="AJ59" s="722"/>
    </row>
    <row r="60" spans="16:36" x14ac:dyDescent="0.2">
      <c r="P60" s="700"/>
      <c r="Q60" s="700"/>
      <c r="R60" s="700"/>
      <c r="S60" s="700"/>
      <c r="T60" s="700"/>
      <c r="U60" s="700"/>
      <c r="V60" s="700"/>
      <c r="W60" s="700"/>
      <c r="X60" s="700"/>
      <c r="Y60" s="700"/>
      <c r="Z60" s="700"/>
      <c r="AA60" s="700"/>
      <c r="AB60" s="722"/>
      <c r="AC60" s="722"/>
      <c r="AD60" s="722"/>
      <c r="AE60" s="722"/>
      <c r="AF60" s="722"/>
      <c r="AG60" s="722"/>
      <c r="AH60" s="722"/>
      <c r="AI60" s="722"/>
      <c r="AJ60" s="722"/>
    </row>
    <row r="61" spans="16:36" x14ac:dyDescent="0.2">
      <c r="P61" s="700"/>
      <c r="Q61" s="700"/>
      <c r="R61" s="700"/>
      <c r="S61" s="700"/>
      <c r="T61" s="700"/>
      <c r="U61" s="700"/>
      <c r="V61" s="700"/>
      <c r="W61" s="700"/>
      <c r="X61" s="700"/>
      <c r="Y61" s="700"/>
      <c r="Z61" s="700"/>
      <c r="AA61" s="700"/>
      <c r="AB61" s="722"/>
      <c r="AC61" s="722"/>
      <c r="AD61" s="722"/>
      <c r="AE61" s="722"/>
      <c r="AF61" s="722"/>
      <c r="AG61" s="722"/>
      <c r="AH61" s="722"/>
      <c r="AI61" s="722"/>
      <c r="AJ61" s="722"/>
    </row>
    <row r="62" spans="16:36" x14ac:dyDescent="0.2">
      <c r="P62" s="700"/>
      <c r="Q62" s="700"/>
      <c r="R62" s="700"/>
      <c r="S62" s="700"/>
      <c r="T62" s="700"/>
      <c r="U62" s="700"/>
      <c r="V62" s="700"/>
      <c r="W62" s="700"/>
      <c r="X62" s="700"/>
      <c r="Y62" s="700"/>
      <c r="Z62" s="700"/>
      <c r="AA62" s="700"/>
      <c r="AB62" s="722"/>
      <c r="AC62" s="722"/>
      <c r="AD62" s="722"/>
      <c r="AE62" s="722"/>
      <c r="AF62" s="722"/>
      <c r="AG62" s="722"/>
      <c r="AH62" s="722"/>
      <c r="AI62" s="722"/>
      <c r="AJ62" s="722"/>
    </row>
    <row r="63" spans="16:36" x14ac:dyDescent="0.2">
      <c r="P63" s="700"/>
      <c r="Q63" s="700"/>
      <c r="R63" s="700"/>
      <c r="S63" s="700"/>
      <c r="T63" s="700"/>
      <c r="U63" s="700"/>
      <c r="V63" s="700"/>
      <c r="W63" s="700"/>
      <c r="X63" s="700"/>
      <c r="Y63" s="700"/>
      <c r="Z63" s="700"/>
      <c r="AA63" s="700"/>
      <c r="AB63" s="722"/>
      <c r="AC63" s="722"/>
      <c r="AD63" s="722"/>
      <c r="AE63" s="722"/>
      <c r="AF63" s="722"/>
      <c r="AG63" s="722"/>
      <c r="AH63" s="722"/>
      <c r="AI63" s="722"/>
      <c r="AJ63" s="722"/>
    </row>
    <row r="64" spans="16:36" x14ac:dyDescent="0.2">
      <c r="P64" s="700"/>
      <c r="Q64" s="700"/>
      <c r="R64" s="700"/>
      <c r="S64" s="700"/>
      <c r="T64" s="700"/>
      <c r="U64" s="700"/>
      <c r="V64" s="700"/>
      <c r="W64" s="700"/>
      <c r="X64" s="700"/>
      <c r="Y64" s="700"/>
      <c r="Z64" s="700"/>
      <c r="AA64" s="700"/>
      <c r="AB64" s="722"/>
      <c r="AC64" s="722"/>
      <c r="AD64" s="722"/>
      <c r="AE64" s="722"/>
      <c r="AF64" s="722"/>
      <c r="AG64" s="722"/>
      <c r="AH64" s="722"/>
      <c r="AI64" s="722"/>
      <c r="AJ64" s="722"/>
    </row>
    <row r="65" spans="16:36" x14ac:dyDescent="0.2">
      <c r="P65" s="700"/>
      <c r="Q65" s="700"/>
      <c r="R65" s="700"/>
      <c r="S65" s="700"/>
      <c r="T65" s="700"/>
      <c r="U65" s="700"/>
      <c r="V65" s="700"/>
      <c r="W65" s="700"/>
      <c r="X65" s="700"/>
      <c r="Y65" s="700"/>
      <c r="Z65" s="700"/>
      <c r="AA65" s="700"/>
      <c r="AB65" s="722"/>
      <c r="AC65" s="722"/>
      <c r="AD65" s="722"/>
      <c r="AE65" s="722"/>
      <c r="AF65" s="722"/>
      <c r="AG65" s="722"/>
      <c r="AH65" s="722"/>
      <c r="AI65" s="722"/>
      <c r="AJ65" s="722"/>
    </row>
    <row r="66" spans="16:36" x14ac:dyDescent="0.2">
      <c r="P66" s="700"/>
      <c r="Q66" s="700"/>
      <c r="R66" s="700"/>
      <c r="S66" s="700"/>
      <c r="T66" s="700"/>
      <c r="U66" s="700"/>
      <c r="V66" s="700"/>
      <c r="W66" s="700"/>
      <c r="X66" s="700"/>
      <c r="Y66" s="700"/>
      <c r="Z66" s="700"/>
      <c r="AA66" s="700"/>
      <c r="AB66" s="722"/>
      <c r="AC66" s="722"/>
      <c r="AD66" s="722"/>
      <c r="AE66" s="722"/>
      <c r="AF66" s="722"/>
      <c r="AG66" s="722"/>
      <c r="AH66" s="722"/>
      <c r="AI66" s="722"/>
      <c r="AJ66" s="722"/>
    </row>
    <row r="67" spans="16:36" x14ac:dyDescent="0.2">
      <c r="P67" s="700"/>
      <c r="Q67" s="700"/>
      <c r="R67" s="700"/>
      <c r="S67" s="700"/>
      <c r="T67" s="700"/>
      <c r="U67" s="700"/>
      <c r="V67" s="700"/>
      <c r="W67" s="700"/>
      <c r="X67" s="700"/>
      <c r="Y67" s="700"/>
      <c r="Z67" s="700"/>
      <c r="AA67" s="700"/>
      <c r="AB67" s="722"/>
      <c r="AC67" s="722"/>
      <c r="AD67" s="722"/>
      <c r="AE67" s="722"/>
      <c r="AF67" s="722"/>
      <c r="AG67" s="722"/>
      <c r="AH67" s="722"/>
      <c r="AI67" s="722"/>
      <c r="AJ67" s="722"/>
    </row>
    <row r="68" spans="16:36" x14ac:dyDescent="0.2">
      <c r="P68" s="700"/>
      <c r="Q68" s="700"/>
      <c r="R68" s="700"/>
      <c r="S68" s="700"/>
      <c r="T68" s="700"/>
      <c r="U68" s="700"/>
      <c r="V68" s="700"/>
      <c r="W68" s="700"/>
      <c r="X68" s="700"/>
      <c r="Y68" s="700"/>
      <c r="Z68" s="700"/>
      <c r="AA68" s="700"/>
      <c r="AB68" s="722"/>
      <c r="AC68" s="722"/>
      <c r="AD68" s="722"/>
      <c r="AE68" s="722"/>
      <c r="AF68" s="722"/>
      <c r="AG68" s="722"/>
      <c r="AH68" s="722"/>
      <c r="AI68" s="722"/>
      <c r="AJ68" s="722"/>
    </row>
    <row r="69" spans="16:36" x14ac:dyDescent="0.2">
      <c r="P69" s="700"/>
      <c r="Q69" s="700"/>
      <c r="R69" s="700"/>
      <c r="S69" s="700"/>
      <c r="T69" s="700"/>
      <c r="U69" s="700"/>
      <c r="V69" s="700"/>
      <c r="W69" s="700"/>
      <c r="X69" s="700"/>
      <c r="Y69" s="700"/>
      <c r="Z69" s="700"/>
      <c r="AA69" s="700"/>
      <c r="AB69" s="722"/>
      <c r="AC69" s="722"/>
      <c r="AD69" s="722"/>
      <c r="AE69" s="722"/>
      <c r="AF69" s="722"/>
      <c r="AG69" s="722"/>
      <c r="AH69" s="722"/>
      <c r="AI69" s="722"/>
      <c r="AJ69" s="722"/>
    </row>
    <row r="70" spans="16:36" x14ac:dyDescent="0.2">
      <c r="P70" s="700"/>
      <c r="Q70" s="700"/>
      <c r="R70" s="700"/>
      <c r="S70" s="700"/>
      <c r="T70" s="700"/>
      <c r="U70" s="700"/>
      <c r="V70" s="700"/>
      <c r="W70" s="700"/>
      <c r="X70" s="700"/>
      <c r="Y70" s="700"/>
      <c r="Z70" s="700"/>
      <c r="AA70" s="700"/>
      <c r="AB70" s="722"/>
      <c r="AC70" s="722"/>
      <c r="AD70" s="722"/>
      <c r="AE70" s="722"/>
      <c r="AF70" s="722"/>
      <c r="AG70" s="722"/>
      <c r="AH70" s="722"/>
      <c r="AI70" s="722"/>
      <c r="AJ70" s="722"/>
    </row>
    <row r="71" spans="16:36" x14ac:dyDescent="0.2">
      <c r="P71" s="700"/>
      <c r="Q71" s="700"/>
      <c r="R71" s="700"/>
      <c r="S71" s="700"/>
      <c r="T71" s="700"/>
      <c r="U71" s="700"/>
      <c r="V71" s="700"/>
      <c r="W71" s="700"/>
      <c r="X71" s="700"/>
      <c r="Y71" s="700"/>
      <c r="Z71" s="700"/>
      <c r="AA71" s="700"/>
      <c r="AB71" s="722"/>
      <c r="AC71" s="722"/>
      <c r="AD71" s="722"/>
      <c r="AE71" s="722"/>
      <c r="AF71" s="722"/>
      <c r="AG71" s="722"/>
      <c r="AH71" s="722"/>
      <c r="AI71" s="722"/>
      <c r="AJ71" s="722"/>
    </row>
    <row r="72" spans="16:36" x14ac:dyDescent="0.2">
      <c r="P72" s="700"/>
      <c r="Q72" s="700"/>
      <c r="R72" s="700"/>
      <c r="S72" s="700"/>
      <c r="T72" s="700"/>
      <c r="U72" s="700"/>
      <c r="V72" s="700"/>
      <c r="W72" s="700"/>
      <c r="X72" s="700"/>
      <c r="Y72" s="700"/>
      <c r="Z72" s="700"/>
      <c r="AA72" s="700"/>
      <c r="AB72" s="722"/>
      <c r="AC72" s="722"/>
      <c r="AD72" s="722"/>
      <c r="AE72" s="722"/>
      <c r="AF72" s="722"/>
      <c r="AG72" s="722"/>
      <c r="AH72" s="722"/>
      <c r="AI72" s="722"/>
      <c r="AJ72" s="722"/>
    </row>
    <row r="73" spans="16:36" x14ac:dyDescent="0.2">
      <c r="P73" s="700"/>
      <c r="Q73" s="700"/>
      <c r="R73" s="700"/>
      <c r="S73" s="700"/>
      <c r="T73" s="700"/>
      <c r="U73" s="700"/>
      <c r="V73" s="700"/>
      <c r="W73" s="700"/>
      <c r="X73" s="700"/>
      <c r="Y73" s="700"/>
      <c r="Z73" s="700"/>
      <c r="AA73" s="700"/>
      <c r="AB73" s="722"/>
      <c r="AC73" s="722"/>
      <c r="AD73" s="722"/>
      <c r="AE73" s="722"/>
      <c r="AF73" s="722"/>
      <c r="AG73" s="722"/>
      <c r="AH73" s="722"/>
      <c r="AI73" s="722"/>
      <c r="AJ73" s="722"/>
    </row>
    <row r="74" spans="16:36" x14ac:dyDescent="0.2">
      <c r="P74" s="700"/>
      <c r="Q74" s="700"/>
      <c r="R74" s="700"/>
      <c r="S74" s="700"/>
      <c r="T74" s="700"/>
      <c r="U74" s="700"/>
      <c r="V74" s="700"/>
      <c r="W74" s="700"/>
      <c r="X74" s="700"/>
      <c r="Y74" s="700"/>
      <c r="Z74" s="700"/>
      <c r="AA74" s="700"/>
      <c r="AB74" s="722"/>
      <c r="AC74" s="722"/>
      <c r="AD74" s="722"/>
      <c r="AE74" s="722"/>
      <c r="AF74" s="722"/>
      <c r="AG74" s="722"/>
      <c r="AH74" s="722"/>
      <c r="AI74" s="722"/>
      <c r="AJ74" s="722"/>
    </row>
    <row r="75" spans="16:36" x14ac:dyDescent="0.2">
      <c r="P75" s="700"/>
      <c r="Q75" s="700"/>
      <c r="R75" s="700"/>
      <c r="S75" s="700"/>
      <c r="T75" s="700"/>
      <c r="U75" s="700"/>
      <c r="V75" s="700"/>
      <c r="W75" s="700"/>
      <c r="X75" s="700"/>
      <c r="Y75" s="700"/>
      <c r="Z75" s="700"/>
      <c r="AA75" s="700"/>
      <c r="AB75" s="722"/>
      <c r="AC75" s="722"/>
      <c r="AD75" s="722"/>
      <c r="AE75" s="722"/>
      <c r="AF75" s="722"/>
      <c r="AG75" s="722"/>
      <c r="AH75" s="722"/>
      <c r="AI75" s="722"/>
      <c r="AJ75" s="722"/>
    </row>
    <row r="76" spans="16:36" x14ac:dyDescent="0.2">
      <c r="P76" s="700"/>
      <c r="Q76" s="700"/>
      <c r="R76" s="700"/>
      <c r="S76" s="700"/>
      <c r="T76" s="700"/>
      <c r="U76" s="700"/>
      <c r="V76" s="700"/>
      <c r="W76" s="700"/>
      <c r="X76" s="700"/>
      <c r="Y76" s="700"/>
      <c r="Z76" s="700"/>
      <c r="AA76" s="700"/>
      <c r="AB76" s="722"/>
      <c r="AC76" s="722"/>
      <c r="AD76" s="722"/>
      <c r="AE76" s="722"/>
      <c r="AF76" s="722"/>
      <c r="AG76" s="722"/>
      <c r="AH76" s="722"/>
      <c r="AI76" s="722"/>
      <c r="AJ76" s="722"/>
    </row>
    <row r="77" spans="16:36" x14ac:dyDescent="0.2">
      <c r="P77" s="700"/>
      <c r="Q77" s="700"/>
      <c r="R77" s="700"/>
      <c r="S77" s="700"/>
      <c r="T77" s="700"/>
      <c r="U77" s="700"/>
      <c r="V77" s="700"/>
      <c r="W77" s="700"/>
      <c r="X77" s="700"/>
      <c r="Y77" s="700"/>
      <c r="Z77" s="700"/>
      <c r="AA77" s="700"/>
      <c r="AB77" s="722"/>
      <c r="AC77" s="722"/>
      <c r="AD77" s="722"/>
      <c r="AE77" s="722"/>
      <c r="AF77" s="722"/>
      <c r="AG77" s="722"/>
      <c r="AH77" s="722"/>
      <c r="AI77" s="722"/>
      <c r="AJ77" s="722"/>
    </row>
    <row r="78" spans="16:36" x14ac:dyDescent="0.2">
      <c r="P78" s="700"/>
      <c r="Q78" s="700"/>
      <c r="R78" s="700"/>
      <c r="S78" s="700"/>
      <c r="T78" s="700"/>
      <c r="U78" s="700"/>
      <c r="V78" s="700"/>
      <c r="W78" s="722"/>
      <c r="X78" s="722"/>
      <c r="Y78" s="722"/>
      <c r="Z78" s="722"/>
      <c r="AA78" s="722"/>
      <c r="AB78" s="722"/>
      <c r="AC78" s="722"/>
      <c r="AD78" s="722"/>
      <c r="AE78" s="722"/>
      <c r="AF78" s="722"/>
      <c r="AG78" s="722"/>
      <c r="AH78" s="722"/>
      <c r="AI78" s="722"/>
      <c r="AJ78" s="722"/>
    </row>
    <row r="79" spans="16:36" x14ac:dyDescent="0.2">
      <c r="P79" s="722"/>
      <c r="Q79" s="722"/>
      <c r="R79" s="722"/>
      <c r="S79" s="722"/>
      <c r="T79" s="722"/>
      <c r="U79" s="722"/>
      <c r="V79" s="722"/>
      <c r="W79" s="722"/>
      <c r="X79" s="722"/>
      <c r="Y79" s="722"/>
      <c r="Z79" s="722"/>
      <c r="AA79" s="722"/>
      <c r="AB79" s="722"/>
      <c r="AC79" s="722"/>
      <c r="AD79" s="722"/>
      <c r="AE79" s="722"/>
      <c r="AF79" s="722"/>
      <c r="AG79" s="722"/>
      <c r="AH79" s="722"/>
      <c r="AI79" s="722"/>
      <c r="AJ79" s="722"/>
    </row>
    <row r="80" spans="16:36" x14ac:dyDescent="0.2">
      <c r="P80" s="722"/>
      <c r="Q80" s="722"/>
      <c r="R80" s="722"/>
      <c r="S80" s="722"/>
      <c r="T80" s="722"/>
      <c r="U80" s="722"/>
      <c r="V80" s="722"/>
      <c r="W80" s="722"/>
      <c r="X80" s="722"/>
      <c r="Y80" s="722"/>
      <c r="Z80" s="722"/>
      <c r="AA80" s="722"/>
      <c r="AB80" s="722"/>
      <c r="AC80" s="722"/>
      <c r="AD80" s="722"/>
      <c r="AE80" s="722"/>
      <c r="AF80" s="722"/>
      <c r="AG80" s="722"/>
      <c r="AH80" s="722"/>
      <c r="AI80" s="722"/>
      <c r="AJ80" s="722"/>
    </row>
    <row r="81" spans="16:36" x14ac:dyDescent="0.2">
      <c r="P81" s="722"/>
      <c r="Q81" s="722"/>
      <c r="R81" s="722"/>
      <c r="S81" s="722"/>
      <c r="T81" s="722"/>
      <c r="U81" s="722"/>
      <c r="V81" s="722"/>
      <c r="W81" s="722"/>
      <c r="X81" s="722"/>
      <c r="Y81" s="722"/>
      <c r="Z81" s="722"/>
      <c r="AA81" s="722"/>
      <c r="AB81" s="722"/>
      <c r="AC81" s="722"/>
      <c r="AD81" s="722"/>
      <c r="AE81" s="722"/>
      <c r="AF81" s="722"/>
      <c r="AG81" s="722"/>
      <c r="AH81" s="722"/>
      <c r="AI81" s="722"/>
      <c r="AJ81" s="722"/>
    </row>
    <row r="82" spans="16:36" x14ac:dyDescent="0.2">
      <c r="P82" s="722"/>
      <c r="Q82" s="722"/>
      <c r="R82" s="722"/>
      <c r="S82" s="722"/>
      <c r="T82" s="722"/>
      <c r="U82" s="722"/>
      <c r="V82" s="722"/>
      <c r="W82" s="722"/>
      <c r="X82" s="722"/>
      <c r="Y82" s="722"/>
      <c r="Z82" s="722"/>
      <c r="AA82" s="722"/>
      <c r="AB82" s="722"/>
      <c r="AC82" s="722"/>
      <c r="AD82" s="722"/>
      <c r="AE82" s="722"/>
      <c r="AF82" s="722"/>
      <c r="AG82" s="722"/>
      <c r="AH82" s="722"/>
      <c r="AI82" s="722"/>
      <c r="AJ82" s="722"/>
    </row>
    <row r="83" spans="16:36" x14ac:dyDescent="0.2">
      <c r="P83" s="722"/>
      <c r="Q83" s="722"/>
      <c r="R83" s="722"/>
      <c r="S83" s="722"/>
      <c r="T83" s="722"/>
      <c r="U83" s="722"/>
      <c r="V83" s="722"/>
      <c r="W83" s="722"/>
      <c r="X83" s="722"/>
      <c r="Y83" s="722"/>
      <c r="Z83" s="722"/>
      <c r="AA83" s="722"/>
      <c r="AB83" s="722"/>
      <c r="AC83" s="722"/>
      <c r="AD83" s="722"/>
      <c r="AE83" s="722"/>
      <c r="AF83" s="722"/>
      <c r="AG83" s="722"/>
      <c r="AH83" s="722"/>
      <c r="AI83" s="722"/>
      <c r="AJ83" s="722"/>
    </row>
    <row r="84" spans="16:36" x14ac:dyDescent="0.2">
      <c r="P84" s="722"/>
      <c r="Q84" s="722"/>
      <c r="R84" s="722"/>
      <c r="S84" s="722"/>
      <c r="T84" s="722"/>
      <c r="U84" s="722"/>
      <c r="V84" s="722"/>
      <c r="W84" s="722"/>
      <c r="X84" s="722"/>
      <c r="Y84" s="722"/>
      <c r="Z84" s="722"/>
      <c r="AA84" s="722"/>
      <c r="AB84" s="722"/>
      <c r="AC84" s="722"/>
      <c r="AD84" s="722"/>
      <c r="AE84" s="722"/>
      <c r="AF84" s="722"/>
      <c r="AG84" s="722"/>
      <c r="AH84" s="722"/>
      <c r="AI84" s="722"/>
      <c r="AJ84" s="722"/>
    </row>
    <row r="85" spans="16:36" x14ac:dyDescent="0.2">
      <c r="P85" s="722"/>
      <c r="Q85" s="722"/>
      <c r="R85" s="722"/>
      <c r="S85" s="722"/>
      <c r="T85" s="722"/>
      <c r="U85" s="722"/>
      <c r="V85" s="722"/>
      <c r="W85" s="722"/>
      <c r="X85" s="722"/>
      <c r="Y85" s="722"/>
      <c r="Z85" s="722"/>
      <c r="AA85" s="722"/>
      <c r="AB85" s="722"/>
      <c r="AC85" s="722"/>
      <c r="AD85" s="722"/>
      <c r="AE85" s="722"/>
      <c r="AF85" s="722"/>
      <c r="AG85" s="722"/>
      <c r="AH85" s="722"/>
      <c r="AI85" s="722"/>
      <c r="AJ85" s="722"/>
    </row>
    <row r="86" spans="16:36" x14ac:dyDescent="0.2">
      <c r="P86" s="722"/>
      <c r="Q86" s="722"/>
      <c r="R86" s="722"/>
      <c r="S86" s="722"/>
      <c r="T86" s="722"/>
      <c r="U86" s="722"/>
      <c r="V86" s="722"/>
      <c r="W86" s="722"/>
      <c r="X86" s="722"/>
      <c r="Y86" s="722"/>
      <c r="Z86" s="722"/>
      <c r="AA86" s="722"/>
      <c r="AB86" s="722"/>
      <c r="AC86" s="722"/>
      <c r="AD86" s="722"/>
      <c r="AE86" s="722"/>
      <c r="AF86" s="722"/>
      <c r="AG86" s="722"/>
      <c r="AH86" s="722"/>
      <c r="AI86" s="722"/>
      <c r="AJ86" s="722"/>
    </row>
    <row r="87" spans="16:36" x14ac:dyDescent="0.2">
      <c r="P87" s="722"/>
      <c r="Q87" s="722"/>
      <c r="R87" s="722"/>
      <c r="S87" s="722"/>
      <c r="T87" s="722"/>
      <c r="U87" s="722"/>
      <c r="V87" s="722"/>
      <c r="W87" s="722"/>
      <c r="X87" s="722"/>
      <c r="Y87" s="722"/>
      <c r="Z87" s="722"/>
      <c r="AA87" s="722"/>
      <c r="AB87" s="722"/>
      <c r="AC87" s="722"/>
      <c r="AD87" s="722"/>
      <c r="AE87" s="722"/>
      <c r="AF87" s="722"/>
      <c r="AG87" s="722"/>
      <c r="AH87" s="722"/>
      <c r="AI87" s="722"/>
      <c r="AJ87" s="722"/>
    </row>
    <row r="88" spans="16:36" x14ac:dyDescent="0.2">
      <c r="P88" s="722"/>
      <c r="Q88" s="722"/>
      <c r="R88" s="722"/>
      <c r="S88" s="722"/>
      <c r="T88" s="722"/>
      <c r="U88" s="722"/>
      <c r="V88" s="722"/>
      <c r="W88" s="722"/>
      <c r="X88" s="722"/>
      <c r="Y88" s="722"/>
      <c r="Z88" s="722"/>
      <c r="AA88" s="722"/>
      <c r="AB88" s="722"/>
      <c r="AC88" s="722"/>
      <c r="AD88" s="722"/>
      <c r="AE88" s="722"/>
      <c r="AF88" s="722"/>
      <c r="AG88" s="722"/>
      <c r="AH88" s="722"/>
      <c r="AI88" s="722"/>
      <c r="AJ88" s="722"/>
    </row>
    <row r="89" spans="16:36" x14ac:dyDescent="0.2">
      <c r="P89" s="722"/>
      <c r="Q89" s="722"/>
      <c r="R89" s="722"/>
      <c r="S89" s="722"/>
      <c r="T89" s="722"/>
      <c r="U89" s="722"/>
      <c r="V89" s="722"/>
      <c r="W89" s="722"/>
      <c r="X89" s="722"/>
      <c r="Y89" s="722"/>
      <c r="Z89" s="722"/>
      <c r="AA89" s="722"/>
      <c r="AB89" s="722"/>
      <c r="AC89" s="722"/>
      <c r="AD89" s="722"/>
      <c r="AE89" s="722"/>
      <c r="AF89" s="722"/>
      <c r="AG89" s="722"/>
      <c r="AH89" s="722"/>
      <c r="AI89" s="722"/>
      <c r="AJ89" s="722"/>
    </row>
    <row r="90" spans="16:36" x14ac:dyDescent="0.2">
      <c r="P90" s="722"/>
      <c r="Q90" s="722"/>
      <c r="R90" s="722"/>
      <c r="S90" s="722"/>
      <c r="T90" s="722"/>
      <c r="U90" s="722"/>
      <c r="V90" s="722"/>
      <c r="W90" s="722"/>
      <c r="X90" s="722"/>
      <c r="Y90" s="722"/>
      <c r="Z90" s="722"/>
      <c r="AA90" s="722"/>
      <c r="AB90" s="722"/>
      <c r="AC90" s="722"/>
      <c r="AD90" s="722"/>
      <c r="AE90" s="722"/>
      <c r="AF90" s="722"/>
      <c r="AG90" s="722"/>
      <c r="AH90" s="722"/>
      <c r="AI90" s="722"/>
      <c r="AJ90" s="722"/>
    </row>
    <row r="91" spans="16:36" x14ac:dyDescent="0.2">
      <c r="P91" s="722"/>
      <c r="Q91" s="722"/>
      <c r="R91" s="722"/>
      <c r="S91" s="722"/>
      <c r="T91" s="722"/>
      <c r="U91" s="722"/>
      <c r="V91" s="722"/>
      <c r="W91" s="722"/>
      <c r="X91" s="722"/>
      <c r="Y91" s="722"/>
      <c r="Z91" s="722"/>
      <c r="AA91" s="722"/>
      <c r="AB91" s="722"/>
      <c r="AC91" s="722"/>
      <c r="AD91" s="722"/>
      <c r="AE91" s="722"/>
      <c r="AF91" s="722"/>
      <c r="AG91" s="722"/>
      <c r="AH91" s="722"/>
      <c r="AI91" s="722"/>
      <c r="AJ91" s="722"/>
    </row>
    <row r="92" spans="16:36" x14ac:dyDescent="0.2">
      <c r="P92" s="722"/>
      <c r="Q92" s="722"/>
      <c r="R92" s="722"/>
      <c r="S92" s="722"/>
      <c r="T92" s="722"/>
      <c r="U92" s="722"/>
      <c r="V92" s="722"/>
      <c r="W92" s="722"/>
      <c r="X92" s="722"/>
      <c r="Y92" s="722"/>
      <c r="Z92" s="722"/>
      <c r="AA92" s="722"/>
      <c r="AB92" s="722"/>
      <c r="AC92" s="722"/>
      <c r="AD92" s="722"/>
      <c r="AE92" s="722"/>
      <c r="AF92" s="722"/>
      <c r="AG92" s="722"/>
      <c r="AH92" s="722"/>
      <c r="AI92" s="722"/>
      <c r="AJ92" s="722"/>
    </row>
    <row r="93" spans="16:36" x14ac:dyDescent="0.2">
      <c r="P93" s="722"/>
      <c r="Q93" s="722"/>
      <c r="R93" s="722"/>
      <c r="S93" s="722"/>
      <c r="T93" s="722"/>
      <c r="U93" s="722"/>
      <c r="V93" s="722"/>
      <c r="W93" s="722"/>
      <c r="X93" s="722"/>
      <c r="Y93" s="722"/>
      <c r="Z93" s="722"/>
      <c r="AA93" s="722"/>
      <c r="AB93" s="722"/>
      <c r="AC93" s="722"/>
      <c r="AD93" s="722"/>
      <c r="AE93" s="722"/>
      <c r="AF93" s="722"/>
      <c r="AG93" s="722"/>
      <c r="AH93" s="722"/>
      <c r="AI93" s="722"/>
      <c r="AJ93" s="722"/>
    </row>
    <row r="94" spans="16:36" x14ac:dyDescent="0.2">
      <c r="P94" s="722"/>
      <c r="Q94" s="722"/>
      <c r="R94" s="722"/>
      <c r="S94" s="722"/>
      <c r="T94" s="722"/>
      <c r="U94" s="722"/>
      <c r="V94" s="722"/>
      <c r="W94" s="722"/>
      <c r="X94" s="722"/>
      <c r="Y94" s="722"/>
      <c r="Z94" s="722"/>
      <c r="AA94" s="722"/>
      <c r="AB94" s="722"/>
      <c r="AC94" s="722"/>
      <c r="AD94" s="722"/>
      <c r="AE94" s="722"/>
      <c r="AF94" s="722"/>
      <c r="AG94" s="722"/>
      <c r="AH94" s="722"/>
      <c r="AI94" s="722"/>
      <c r="AJ94" s="722"/>
    </row>
    <row r="95" spans="16:36" x14ac:dyDescent="0.2">
      <c r="P95" s="722"/>
      <c r="Q95" s="722"/>
      <c r="R95" s="722"/>
      <c r="S95" s="722"/>
      <c r="T95" s="722"/>
      <c r="U95" s="722"/>
      <c r="V95" s="722"/>
      <c r="W95" s="722"/>
      <c r="X95" s="722"/>
      <c r="Y95" s="722"/>
      <c r="Z95" s="722"/>
      <c r="AA95" s="722"/>
      <c r="AB95" s="722"/>
      <c r="AC95" s="722"/>
      <c r="AD95" s="722"/>
      <c r="AE95" s="722"/>
      <c r="AF95" s="722"/>
      <c r="AG95" s="722"/>
      <c r="AH95" s="722"/>
      <c r="AI95" s="722"/>
      <c r="AJ95" s="722"/>
    </row>
    <row r="96" spans="16:36" x14ac:dyDescent="0.2">
      <c r="P96" s="722"/>
      <c r="Q96" s="722"/>
      <c r="R96" s="722"/>
      <c r="S96" s="722"/>
      <c r="T96" s="722"/>
      <c r="U96" s="722"/>
      <c r="V96" s="722"/>
      <c r="W96" s="722"/>
      <c r="X96" s="722"/>
      <c r="Y96" s="722"/>
      <c r="Z96" s="722"/>
      <c r="AA96" s="722"/>
      <c r="AB96" s="722"/>
      <c r="AC96" s="722"/>
      <c r="AD96" s="722"/>
      <c r="AE96" s="722"/>
      <c r="AF96" s="722"/>
      <c r="AG96" s="722"/>
      <c r="AH96" s="722"/>
      <c r="AI96" s="722"/>
      <c r="AJ96" s="722"/>
    </row>
    <row r="97" spans="16:36" x14ac:dyDescent="0.2">
      <c r="P97" s="722"/>
      <c r="Q97" s="722"/>
      <c r="R97" s="722"/>
      <c r="S97" s="722"/>
      <c r="T97" s="722"/>
      <c r="U97" s="722"/>
      <c r="V97" s="722"/>
      <c r="W97" s="722"/>
      <c r="X97" s="722"/>
      <c r="Y97" s="722"/>
      <c r="Z97" s="722"/>
      <c r="AA97" s="722"/>
      <c r="AB97" s="722"/>
      <c r="AC97" s="722"/>
      <c r="AD97" s="722"/>
      <c r="AE97" s="722"/>
      <c r="AF97" s="722"/>
      <c r="AG97" s="722"/>
      <c r="AH97" s="722"/>
      <c r="AI97" s="722"/>
      <c r="AJ97" s="722"/>
    </row>
    <row r="98" spans="16:36" x14ac:dyDescent="0.2">
      <c r="P98" s="722"/>
      <c r="Q98" s="722"/>
      <c r="R98" s="722"/>
      <c r="S98" s="722"/>
      <c r="T98" s="722"/>
      <c r="U98" s="722"/>
      <c r="V98" s="722"/>
      <c r="W98" s="722"/>
      <c r="X98" s="722"/>
      <c r="Y98" s="722"/>
      <c r="Z98" s="722"/>
      <c r="AA98" s="722"/>
      <c r="AB98" s="722"/>
      <c r="AC98" s="722"/>
      <c r="AD98" s="722"/>
      <c r="AE98" s="722"/>
      <c r="AF98" s="722"/>
      <c r="AG98" s="722"/>
      <c r="AH98" s="722"/>
      <c r="AI98" s="722"/>
      <c r="AJ98" s="722"/>
    </row>
    <row r="99" spans="16:36" x14ac:dyDescent="0.2">
      <c r="P99" s="722"/>
      <c r="Q99" s="722"/>
      <c r="R99" s="722"/>
      <c r="S99" s="722"/>
      <c r="T99" s="722"/>
      <c r="U99" s="722"/>
      <c r="V99" s="722"/>
      <c r="W99" s="722"/>
      <c r="X99" s="722"/>
      <c r="Y99" s="722"/>
      <c r="Z99" s="722"/>
      <c r="AA99" s="722"/>
      <c r="AB99" s="722"/>
      <c r="AC99" s="722"/>
      <c r="AD99" s="722"/>
      <c r="AE99" s="722"/>
      <c r="AF99" s="722"/>
      <c r="AG99" s="722"/>
      <c r="AH99" s="722"/>
      <c r="AI99" s="722"/>
      <c r="AJ99" s="722"/>
    </row>
    <row r="100" spans="16:36" x14ac:dyDescent="0.2">
      <c r="P100" s="722"/>
      <c r="Q100" s="722"/>
      <c r="R100" s="722"/>
      <c r="S100" s="722"/>
      <c r="T100" s="722"/>
      <c r="U100" s="722"/>
      <c r="V100" s="722"/>
      <c r="W100" s="722"/>
      <c r="X100" s="722"/>
      <c r="Y100" s="722"/>
      <c r="Z100" s="722"/>
      <c r="AA100" s="722"/>
      <c r="AB100" s="722"/>
      <c r="AC100" s="722"/>
      <c r="AD100" s="722"/>
      <c r="AE100" s="722"/>
      <c r="AF100" s="722"/>
      <c r="AG100" s="722"/>
      <c r="AH100" s="722"/>
      <c r="AI100" s="722"/>
      <c r="AJ100" s="722"/>
    </row>
    <row r="101" spans="16:36" x14ac:dyDescent="0.2">
      <c r="P101" s="722"/>
      <c r="Q101" s="722"/>
      <c r="R101" s="722"/>
      <c r="S101" s="722"/>
      <c r="T101" s="722"/>
      <c r="U101" s="722"/>
      <c r="V101" s="722"/>
      <c r="W101" s="722"/>
      <c r="X101" s="722"/>
      <c r="Y101" s="722"/>
      <c r="Z101" s="722"/>
      <c r="AA101" s="722"/>
      <c r="AB101" s="722"/>
      <c r="AC101" s="722"/>
      <c r="AD101" s="722"/>
      <c r="AE101" s="722"/>
      <c r="AF101" s="722"/>
      <c r="AG101" s="722"/>
      <c r="AH101" s="722"/>
      <c r="AI101" s="722"/>
      <c r="AJ101" s="722"/>
    </row>
    <row r="102" spans="16:36" x14ac:dyDescent="0.2">
      <c r="P102" s="722"/>
      <c r="Q102" s="722"/>
      <c r="R102" s="722"/>
      <c r="S102" s="722"/>
      <c r="T102" s="722"/>
      <c r="U102" s="722"/>
      <c r="V102" s="722"/>
      <c r="W102" s="722"/>
      <c r="X102" s="722"/>
      <c r="Y102" s="722"/>
      <c r="Z102" s="722"/>
      <c r="AA102" s="722"/>
      <c r="AB102" s="722"/>
      <c r="AC102" s="722"/>
      <c r="AD102" s="722"/>
      <c r="AE102" s="722"/>
      <c r="AF102" s="722"/>
      <c r="AG102" s="722"/>
      <c r="AH102" s="722"/>
      <c r="AI102" s="722"/>
      <c r="AJ102" s="722"/>
    </row>
    <row r="103" spans="16:36" x14ac:dyDescent="0.2">
      <c r="P103" s="722"/>
      <c r="Q103" s="722"/>
      <c r="R103" s="722"/>
      <c r="S103" s="722"/>
      <c r="T103" s="722"/>
      <c r="U103" s="722"/>
      <c r="V103" s="722"/>
      <c r="W103" s="722"/>
      <c r="X103" s="722"/>
      <c r="Y103" s="722"/>
      <c r="Z103" s="722"/>
      <c r="AA103" s="722"/>
      <c r="AB103" s="722"/>
      <c r="AC103" s="722"/>
      <c r="AD103" s="722"/>
      <c r="AE103" s="722"/>
      <c r="AF103" s="722"/>
      <c r="AG103" s="722"/>
      <c r="AH103" s="722"/>
      <c r="AI103" s="722"/>
      <c r="AJ103" s="722"/>
    </row>
    <row r="104" spans="16:36" x14ac:dyDescent="0.2">
      <c r="P104" s="722"/>
      <c r="Q104" s="722"/>
      <c r="R104" s="722"/>
      <c r="S104" s="722"/>
      <c r="T104" s="722"/>
      <c r="U104" s="722"/>
      <c r="V104" s="722"/>
      <c r="W104" s="722"/>
      <c r="X104" s="722"/>
      <c r="Y104" s="722"/>
      <c r="Z104" s="722"/>
      <c r="AA104" s="722"/>
      <c r="AB104" s="722"/>
      <c r="AC104" s="722"/>
      <c r="AD104" s="722"/>
      <c r="AE104" s="722"/>
      <c r="AF104" s="722"/>
      <c r="AG104" s="722"/>
      <c r="AH104" s="722"/>
      <c r="AI104" s="722"/>
      <c r="AJ104" s="722"/>
    </row>
    <row r="105" spans="16:36" x14ac:dyDescent="0.2">
      <c r="P105" s="722"/>
      <c r="Q105" s="722"/>
      <c r="R105" s="722"/>
      <c r="S105" s="722"/>
      <c r="T105" s="722"/>
      <c r="U105" s="722"/>
      <c r="V105" s="722"/>
      <c r="W105" s="722"/>
      <c r="X105" s="722"/>
      <c r="Y105" s="722"/>
      <c r="Z105" s="722"/>
      <c r="AA105" s="722"/>
      <c r="AB105" s="722"/>
      <c r="AC105" s="722"/>
      <c r="AD105" s="722"/>
      <c r="AE105" s="722"/>
      <c r="AF105" s="722"/>
      <c r="AG105" s="722"/>
      <c r="AH105" s="722"/>
      <c r="AI105" s="722"/>
      <c r="AJ105" s="722"/>
    </row>
    <row r="106" spans="16:36" x14ac:dyDescent="0.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row>
    <row r="107" spans="16:36" x14ac:dyDescent="0.2">
      <c r="P107" s="722"/>
      <c r="Q107" s="722"/>
      <c r="R107" s="722"/>
      <c r="S107" s="722"/>
      <c r="T107" s="722"/>
      <c r="U107" s="722"/>
      <c r="V107" s="722"/>
      <c r="W107" s="722"/>
      <c r="X107" s="722"/>
      <c r="Y107" s="722"/>
      <c r="Z107" s="722"/>
      <c r="AA107" s="722"/>
      <c r="AB107" s="722"/>
      <c r="AC107" s="722"/>
      <c r="AD107" s="722"/>
      <c r="AE107" s="722"/>
      <c r="AF107" s="722"/>
      <c r="AG107" s="722"/>
      <c r="AH107" s="722"/>
      <c r="AI107" s="722"/>
      <c r="AJ107" s="722"/>
    </row>
    <row r="108" spans="16:36" x14ac:dyDescent="0.2">
      <c r="P108" s="722"/>
      <c r="Q108" s="722"/>
      <c r="R108" s="722"/>
      <c r="S108" s="722"/>
      <c r="T108" s="722"/>
      <c r="U108" s="722"/>
      <c r="V108" s="722"/>
      <c r="W108" s="722"/>
      <c r="X108" s="722"/>
      <c r="Y108" s="722"/>
      <c r="Z108" s="722"/>
      <c r="AA108" s="722"/>
      <c r="AB108" s="722"/>
      <c r="AC108" s="722"/>
      <c r="AD108" s="722"/>
      <c r="AE108" s="722"/>
      <c r="AF108" s="722"/>
      <c r="AG108" s="722"/>
      <c r="AH108" s="722"/>
      <c r="AI108" s="722"/>
      <c r="AJ108" s="722"/>
    </row>
    <row r="109" spans="16:36" x14ac:dyDescent="0.2">
      <c r="P109" s="722"/>
      <c r="Q109" s="722"/>
      <c r="R109" s="722"/>
      <c r="S109" s="722"/>
      <c r="T109" s="722"/>
      <c r="U109" s="722"/>
      <c r="V109" s="722"/>
      <c r="W109" s="722"/>
      <c r="X109" s="722"/>
      <c r="Y109" s="722"/>
      <c r="Z109" s="722"/>
      <c r="AA109" s="722"/>
      <c r="AB109" s="722"/>
      <c r="AC109" s="722"/>
      <c r="AD109" s="722"/>
      <c r="AE109" s="722"/>
      <c r="AF109" s="722"/>
      <c r="AG109" s="722"/>
      <c r="AH109" s="722"/>
      <c r="AI109" s="722"/>
      <c r="AJ109" s="722"/>
    </row>
    <row r="110" spans="16:36" x14ac:dyDescent="0.2">
      <c r="P110" s="722"/>
      <c r="Q110" s="722"/>
      <c r="R110" s="722"/>
      <c r="S110" s="722"/>
      <c r="T110" s="722"/>
      <c r="U110" s="722"/>
      <c r="V110" s="722"/>
      <c r="W110" s="722"/>
      <c r="X110" s="722"/>
      <c r="Y110" s="722"/>
      <c r="Z110" s="722"/>
      <c r="AA110" s="722"/>
      <c r="AB110" s="722"/>
      <c r="AC110" s="722"/>
      <c r="AD110" s="722"/>
      <c r="AE110" s="722"/>
      <c r="AF110" s="722"/>
      <c r="AG110" s="722"/>
      <c r="AH110" s="722"/>
      <c r="AI110" s="722"/>
      <c r="AJ110" s="722"/>
    </row>
    <row r="111" spans="16:36" x14ac:dyDescent="0.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row>
    <row r="112" spans="16:36" x14ac:dyDescent="0.2">
      <c r="P112" s="722"/>
      <c r="Q112" s="722"/>
      <c r="R112" s="722"/>
      <c r="S112" s="722"/>
      <c r="T112" s="722"/>
      <c r="U112" s="722"/>
      <c r="V112" s="722"/>
      <c r="W112" s="722"/>
      <c r="X112" s="722"/>
      <c r="Y112" s="722"/>
      <c r="Z112" s="722"/>
      <c r="AA112" s="722"/>
      <c r="AB112" s="722"/>
      <c r="AC112" s="722"/>
      <c r="AD112" s="722"/>
      <c r="AE112" s="722"/>
      <c r="AF112" s="722"/>
      <c r="AG112" s="722"/>
      <c r="AH112" s="722"/>
      <c r="AI112" s="722"/>
      <c r="AJ112" s="722"/>
    </row>
    <row r="113" spans="16:36" x14ac:dyDescent="0.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row>
    <row r="114" spans="16:36" x14ac:dyDescent="0.2">
      <c r="P114" s="722"/>
      <c r="Q114" s="722"/>
      <c r="R114" s="722"/>
      <c r="S114" s="722"/>
      <c r="T114" s="722"/>
      <c r="U114" s="722"/>
      <c r="V114" s="722"/>
      <c r="W114" s="722"/>
      <c r="X114" s="722"/>
      <c r="Y114" s="722"/>
      <c r="Z114" s="722"/>
      <c r="AA114" s="722"/>
      <c r="AB114" s="722"/>
      <c r="AC114" s="722"/>
      <c r="AD114" s="722"/>
      <c r="AE114" s="722"/>
      <c r="AF114" s="722"/>
      <c r="AG114" s="722"/>
      <c r="AH114" s="722"/>
      <c r="AI114" s="722"/>
      <c r="AJ114" s="722"/>
    </row>
    <row r="115" spans="16:36" x14ac:dyDescent="0.2">
      <c r="P115" s="722"/>
      <c r="Q115" s="722"/>
      <c r="R115" s="722"/>
      <c r="S115" s="722"/>
      <c r="T115" s="722"/>
      <c r="U115" s="722"/>
      <c r="V115" s="722"/>
      <c r="W115" s="722"/>
      <c r="X115" s="722"/>
      <c r="Y115" s="722"/>
      <c r="Z115" s="722"/>
      <c r="AA115" s="722"/>
      <c r="AB115" s="722"/>
      <c r="AC115" s="722"/>
      <c r="AD115" s="722"/>
      <c r="AE115" s="722"/>
      <c r="AF115" s="722"/>
      <c r="AG115" s="722"/>
      <c r="AH115" s="722"/>
      <c r="AI115" s="722"/>
      <c r="AJ115" s="722"/>
    </row>
    <row r="116" spans="16:36" x14ac:dyDescent="0.2">
      <c r="P116" s="722"/>
      <c r="Q116" s="722"/>
      <c r="R116" s="722"/>
      <c r="S116" s="722"/>
      <c r="T116" s="722"/>
      <c r="U116" s="722"/>
      <c r="V116" s="722"/>
      <c r="W116" s="722"/>
      <c r="X116" s="722"/>
      <c r="Y116" s="722"/>
      <c r="Z116" s="722"/>
      <c r="AA116" s="722"/>
      <c r="AB116" s="722"/>
      <c r="AC116" s="722"/>
      <c r="AD116" s="722"/>
      <c r="AE116" s="722"/>
      <c r="AF116" s="722"/>
      <c r="AG116" s="722"/>
      <c r="AH116" s="722"/>
      <c r="AI116" s="722"/>
      <c r="AJ116" s="722"/>
    </row>
    <row r="117" spans="16:36" x14ac:dyDescent="0.2">
      <c r="P117" s="722"/>
      <c r="Q117" s="722"/>
      <c r="R117" s="722"/>
      <c r="S117" s="722"/>
      <c r="T117" s="722"/>
      <c r="U117" s="722"/>
      <c r="V117" s="722"/>
      <c r="W117" s="722"/>
      <c r="X117" s="722"/>
      <c r="Y117" s="722"/>
      <c r="Z117" s="722"/>
      <c r="AA117" s="722"/>
      <c r="AB117" s="722"/>
      <c r="AC117" s="722"/>
      <c r="AD117" s="722"/>
      <c r="AE117" s="722"/>
      <c r="AF117" s="722"/>
      <c r="AG117" s="722"/>
      <c r="AH117" s="722"/>
      <c r="AI117" s="722"/>
      <c r="AJ117" s="722"/>
    </row>
    <row r="118" spans="16:36" x14ac:dyDescent="0.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row>
    <row r="119" spans="16:36" x14ac:dyDescent="0.2">
      <c r="P119" s="722"/>
      <c r="Q119" s="722"/>
      <c r="R119" s="722"/>
      <c r="S119" s="722"/>
      <c r="T119" s="722"/>
      <c r="U119" s="722"/>
      <c r="V119" s="722"/>
      <c r="W119" s="722"/>
      <c r="X119" s="722"/>
      <c r="Y119" s="722"/>
      <c r="Z119" s="722"/>
      <c r="AA119" s="722"/>
      <c r="AB119" s="722"/>
      <c r="AC119" s="722"/>
      <c r="AD119" s="722"/>
      <c r="AE119" s="722"/>
      <c r="AF119" s="722"/>
      <c r="AG119" s="722"/>
      <c r="AH119" s="722"/>
      <c r="AI119" s="722"/>
      <c r="AJ119" s="722"/>
    </row>
    <row r="120" spans="16:36" x14ac:dyDescent="0.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row>
    <row r="121" spans="16:36" x14ac:dyDescent="0.2">
      <c r="P121" s="722"/>
      <c r="Q121" s="722"/>
      <c r="R121" s="722"/>
      <c r="S121" s="722"/>
      <c r="T121" s="722"/>
      <c r="U121" s="722"/>
      <c r="V121" s="722"/>
      <c r="W121" s="722"/>
      <c r="X121" s="722"/>
      <c r="Y121" s="722"/>
      <c r="Z121" s="722"/>
      <c r="AA121" s="722"/>
      <c r="AB121" s="722"/>
      <c r="AC121" s="722"/>
      <c r="AD121" s="722"/>
      <c r="AE121" s="722"/>
      <c r="AF121" s="722"/>
      <c r="AG121" s="722"/>
      <c r="AH121" s="722"/>
      <c r="AI121" s="722"/>
      <c r="AJ121" s="722"/>
    </row>
    <row r="122" spans="16:36" x14ac:dyDescent="0.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row>
    <row r="123" spans="16:36" x14ac:dyDescent="0.2">
      <c r="P123" s="722"/>
      <c r="Q123" s="722"/>
      <c r="R123" s="722"/>
      <c r="S123" s="722"/>
      <c r="T123" s="722"/>
      <c r="U123" s="722"/>
      <c r="V123" s="722"/>
      <c r="W123" s="722"/>
      <c r="X123" s="722"/>
      <c r="Y123" s="722"/>
      <c r="Z123" s="722"/>
      <c r="AA123" s="722"/>
      <c r="AB123" s="722"/>
      <c r="AC123" s="722"/>
      <c r="AD123" s="722"/>
      <c r="AE123" s="722"/>
      <c r="AF123" s="722"/>
      <c r="AG123" s="722"/>
      <c r="AH123" s="722"/>
      <c r="AI123" s="722"/>
      <c r="AJ123" s="722"/>
    </row>
    <row r="124" spans="16:36" x14ac:dyDescent="0.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row>
    <row r="125" spans="16:36" x14ac:dyDescent="0.2">
      <c r="P125" s="722"/>
      <c r="Q125" s="722"/>
      <c r="R125" s="722"/>
      <c r="S125" s="722"/>
      <c r="T125" s="722"/>
      <c r="U125" s="722"/>
      <c r="V125" s="722"/>
      <c r="W125" s="722"/>
      <c r="X125" s="722"/>
      <c r="Y125" s="722"/>
      <c r="Z125" s="722"/>
      <c r="AA125" s="722"/>
      <c r="AB125" s="722"/>
      <c r="AC125" s="722"/>
      <c r="AD125" s="722"/>
      <c r="AE125" s="722"/>
      <c r="AF125" s="722"/>
      <c r="AG125" s="722"/>
      <c r="AH125" s="722"/>
      <c r="AI125" s="722"/>
      <c r="AJ125" s="722"/>
    </row>
    <row r="126" spans="16:36" x14ac:dyDescent="0.2">
      <c r="P126" s="722"/>
      <c r="Q126" s="722"/>
      <c r="R126" s="722"/>
      <c r="S126" s="722"/>
      <c r="T126" s="722"/>
      <c r="U126" s="722"/>
      <c r="V126" s="722"/>
      <c r="W126" s="722"/>
      <c r="X126" s="722"/>
      <c r="Y126" s="722"/>
      <c r="Z126" s="722"/>
      <c r="AA126" s="722"/>
      <c r="AB126" s="722"/>
      <c r="AC126" s="722"/>
      <c r="AD126" s="722"/>
      <c r="AE126" s="722"/>
      <c r="AF126" s="722"/>
      <c r="AG126" s="722"/>
      <c r="AH126" s="722"/>
      <c r="AI126" s="722"/>
      <c r="AJ126" s="722"/>
    </row>
    <row r="127" spans="16:36" x14ac:dyDescent="0.2">
      <c r="P127" s="722"/>
      <c r="Q127" s="722"/>
      <c r="R127" s="722"/>
      <c r="S127" s="722"/>
      <c r="T127" s="722"/>
      <c r="U127" s="722"/>
      <c r="V127" s="722"/>
      <c r="W127" s="722"/>
      <c r="X127" s="722"/>
      <c r="Y127" s="722"/>
      <c r="Z127" s="722"/>
      <c r="AA127" s="722"/>
      <c r="AB127" s="722"/>
      <c r="AC127" s="722"/>
      <c r="AD127" s="722"/>
      <c r="AE127" s="722"/>
      <c r="AF127" s="722"/>
      <c r="AG127" s="722"/>
      <c r="AH127" s="722"/>
      <c r="AI127" s="722"/>
      <c r="AJ127" s="722"/>
    </row>
    <row r="128" spans="16:36" x14ac:dyDescent="0.2">
      <c r="P128" s="722"/>
      <c r="Q128" s="722"/>
      <c r="R128" s="722"/>
      <c r="S128" s="722"/>
      <c r="T128" s="722"/>
      <c r="U128" s="722"/>
      <c r="V128" s="722"/>
      <c r="W128" s="722"/>
      <c r="X128" s="722"/>
      <c r="Y128" s="722"/>
      <c r="Z128" s="722"/>
      <c r="AA128" s="722"/>
      <c r="AB128" s="722"/>
      <c r="AC128" s="722"/>
      <c r="AD128" s="722"/>
      <c r="AE128" s="722"/>
      <c r="AF128" s="722"/>
      <c r="AG128" s="722"/>
      <c r="AH128" s="722"/>
      <c r="AI128" s="722"/>
      <c r="AJ128" s="722"/>
    </row>
    <row r="129" spans="16:36" x14ac:dyDescent="0.2">
      <c r="P129" s="722"/>
      <c r="Q129" s="722"/>
      <c r="R129" s="722"/>
      <c r="S129" s="722"/>
      <c r="T129" s="722"/>
      <c r="U129" s="722"/>
      <c r="V129" s="722"/>
      <c r="W129" s="722"/>
      <c r="X129" s="722"/>
      <c r="Y129" s="722"/>
      <c r="Z129" s="722"/>
      <c r="AA129" s="722"/>
      <c r="AB129" s="722"/>
      <c r="AC129" s="722"/>
      <c r="AD129" s="722"/>
      <c r="AE129" s="722"/>
      <c r="AF129" s="722"/>
      <c r="AG129" s="722"/>
      <c r="AH129" s="722"/>
      <c r="AI129" s="722"/>
      <c r="AJ129" s="722"/>
    </row>
    <row r="130" spans="16:36" x14ac:dyDescent="0.2">
      <c r="P130" s="722"/>
      <c r="Q130" s="722"/>
      <c r="R130" s="722"/>
      <c r="S130" s="722"/>
      <c r="T130" s="722"/>
      <c r="U130" s="722"/>
      <c r="V130" s="722"/>
      <c r="W130" s="722"/>
      <c r="X130" s="722"/>
      <c r="Y130" s="722"/>
      <c r="Z130" s="722"/>
      <c r="AA130" s="722"/>
      <c r="AB130" s="722"/>
      <c r="AC130" s="722"/>
      <c r="AD130" s="722"/>
      <c r="AE130" s="722"/>
      <c r="AF130" s="722"/>
      <c r="AG130" s="722"/>
      <c r="AH130" s="722"/>
      <c r="AI130" s="722"/>
      <c r="AJ130" s="722"/>
    </row>
    <row r="131" spans="16:36" x14ac:dyDescent="0.2">
      <c r="P131" s="722"/>
      <c r="Q131" s="722"/>
      <c r="R131" s="722"/>
      <c r="S131" s="722"/>
      <c r="T131" s="722"/>
      <c r="U131" s="722"/>
      <c r="V131" s="722"/>
      <c r="W131" s="722"/>
      <c r="X131" s="722"/>
      <c r="Y131" s="722"/>
      <c r="Z131" s="722"/>
      <c r="AA131" s="722"/>
      <c r="AB131" s="722"/>
      <c r="AC131" s="722"/>
      <c r="AD131" s="722"/>
      <c r="AE131" s="722"/>
      <c r="AF131" s="722"/>
      <c r="AG131" s="722"/>
      <c r="AH131" s="722"/>
      <c r="AI131" s="722"/>
      <c r="AJ131" s="722"/>
    </row>
    <row r="132" spans="16:36" x14ac:dyDescent="0.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row>
    <row r="133" spans="16:36" x14ac:dyDescent="0.2">
      <c r="P133" s="722"/>
      <c r="Q133" s="722"/>
      <c r="R133" s="722"/>
      <c r="S133" s="722"/>
      <c r="T133" s="722"/>
      <c r="U133" s="722"/>
      <c r="V133" s="722"/>
      <c r="W133" s="722"/>
      <c r="X133" s="722"/>
      <c r="Y133" s="722"/>
      <c r="Z133" s="722"/>
      <c r="AA133" s="722"/>
      <c r="AB133" s="722"/>
      <c r="AC133" s="722"/>
      <c r="AD133" s="722"/>
      <c r="AE133" s="722"/>
      <c r="AF133" s="722"/>
      <c r="AG133" s="722"/>
      <c r="AH133" s="722"/>
      <c r="AI133" s="722"/>
      <c r="AJ133" s="722"/>
    </row>
    <row r="134" spans="16:36" x14ac:dyDescent="0.2">
      <c r="P134" s="722"/>
      <c r="Q134" s="722"/>
      <c r="R134" s="722"/>
      <c r="S134" s="722"/>
      <c r="T134" s="722"/>
      <c r="U134" s="722"/>
      <c r="V134" s="722"/>
      <c r="W134" s="722"/>
      <c r="X134" s="722"/>
      <c r="Y134" s="722"/>
      <c r="Z134" s="722"/>
      <c r="AA134" s="722"/>
      <c r="AB134" s="722"/>
      <c r="AC134" s="722"/>
      <c r="AD134" s="722"/>
      <c r="AE134" s="722"/>
      <c r="AF134" s="722"/>
      <c r="AG134" s="722"/>
      <c r="AH134" s="722"/>
      <c r="AI134" s="722"/>
      <c r="AJ134" s="722"/>
    </row>
    <row r="135" spans="16:36" x14ac:dyDescent="0.2">
      <c r="P135" s="722"/>
      <c r="Q135" s="722"/>
      <c r="R135" s="722"/>
      <c r="S135" s="722"/>
      <c r="T135" s="722"/>
      <c r="U135" s="722"/>
      <c r="V135" s="722"/>
      <c r="W135" s="722"/>
      <c r="X135" s="722"/>
      <c r="Y135" s="722"/>
      <c r="Z135" s="722"/>
      <c r="AA135" s="722"/>
      <c r="AB135" s="722"/>
      <c r="AC135" s="722"/>
      <c r="AD135" s="722"/>
      <c r="AE135" s="722"/>
      <c r="AF135" s="722"/>
      <c r="AG135" s="722"/>
      <c r="AH135" s="722"/>
      <c r="AI135" s="722"/>
      <c r="AJ135" s="722"/>
    </row>
    <row r="136" spans="16:36" x14ac:dyDescent="0.2">
      <c r="P136" s="722"/>
      <c r="Q136" s="722"/>
      <c r="R136" s="722"/>
      <c r="S136" s="722"/>
      <c r="T136" s="722"/>
      <c r="U136" s="722"/>
      <c r="V136" s="722"/>
      <c r="W136" s="722"/>
      <c r="X136" s="722"/>
      <c r="Y136" s="722"/>
      <c r="Z136" s="722"/>
      <c r="AA136" s="722"/>
      <c r="AB136" s="722"/>
      <c r="AC136" s="722"/>
      <c r="AD136" s="722"/>
      <c r="AE136" s="722"/>
      <c r="AF136" s="722"/>
      <c r="AG136" s="722"/>
      <c r="AH136" s="722"/>
      <c r="AI136" s="722"/>
      <c r="AJ136" s="722"/>
    </row>
    <row r="137" spans="16:36" x14ac:dyDescent="0.2">
      <c r="P137" s="722"/>
      <c r="Q137" s="722"/>
      <c r="R137" s="722"/>
      <c r="S137" s="722"/>
      <c r="T137" s="722"/>
      <c r="U137" s="722"/>
      <c r="V137" s="722"/>
      <c r="W137" s="722"/>
      <c r="X137" s="722"/>
      <c r="Y137" s="722"/>
      <c r="Z137" s="722"/>
      <c r="AA137" s="722"/>
      <c r="AB137" s="722"/>
      <c r="AC137" s="722"/>
      <c r="AD137" s="722"/>
      <c r="AE137" s="722"/>
      <c r="AF137" s="722"/>
      <c r="AG137" s="722"/>
      <c r="AH137" s="722"/>
      <c r="AI137" s="722"/>
      <c r="AJ137" s="722"/>
    </row>
    <row r="138" spans="16:36" x14ac:dyDescent="0.2">
      <c r="P138" s="722"/>
      <c r="Q138" s="722"/>
      <c r="R138" s="722"/>
      <c r="S138" s="722"/>
      <c r="T138" s="722"/>
      <c r="U138" s="722"/>
      <c r="V138" s="722"/>
      <c r="W138" s="722"/>
      <c r="X138" s="722"/>
      <c r="Y138" s="722"/>
      <c r="Z138" s="722"/>
      <c r="AA138" s="722"/>
      <c r="AB138" s="722"/>
      <c r="AC138" s="722"/>
      <c r="AD138" s="722"/>
      <c r="AE138" s="722"/>
      <c r="AF138" s="722"/>
      <c r="AG138" s="722"/>
      <c r="AH138" s="722"/>
      <c r="AI138" s="722"/>
      <c r="AJ138" s="722"/>
    </row>
    <row r="139" spans="16:36" x14ac:dyDescent="0.2">
      <c r="P139" s="722"/>
      <c r="Q139" s="722"/>
      <c r="R139" s="722"/>
      <c r="S139" s="722"/>
      <c r="T139" s="722"/>
      <c r="U139" s="722"/>
      <c r="V139" s="722"/>
      <c r="W139" s="722"/>
      <c r="X139" s="722"/>
      <c r="Y139" s="722"/>
      <c r="Z139" s="722"/>
      <c r="AA139" s="722"/>
      <c r="AB139" s="722"/>
      <c r="AC139" s="722"/>
      <c r="AD139" s="722"/>
      <c r="AE139" s="722"/>
      <c r="AF139" s="722"/>
      <c r="AG139" s="722"/>
      <c r="AH139" s="722"/>
      <c r="AI139" s="722"/>
      <c r="AJ139" s="722"/>
    </row>
    <row r="140" spans="16:36" x14ac:dyDescent="0.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row>
    <row r="141" spans="16:36" x14ac:dyDescent="0.2">
      <c r="P141" s="722"/>
      <c r="Q141" s="722"/>
      <c r="R141" s="722"/>
      <c r="S141" s="722"/>
      <c r="T141" s="722"/>
      <c r="U141" s="722"/>
      <c r="V141" s="722"/>
      <c r="W141" s="722"/>
      <c r="X141" s="722"/>
      <c r="Y141" s="722"/>
      <c r="Z141" s="722"/>
      <c r="AA141" s="722"/>
      <c r="AB141" s="722"/>
      <c r="AC141" s="722"/>
      <c r="AD141" s="722"/>
      <c r="AE141" s="722"/>
      <c r="AF141" s="722"/>
      <c r="AG141" s="722"/>
      <c r="AH141" s="722"/>
      <c r="AI141" s="722"/>
      <c r="AJ141" s="722"/>
    </row>
    <row r="142" spans="16:36" x14ac:dyDescent="0.2">
      <c r="P142" s="722"/>
      <c r="Q142" s="722"/>
      <c r="R142" s="722"/>
      <c r="S142" s="722"/>
      <c r="T142" s="722"/>
      <c r="U142" s="722"/>
      <c r="V142" s="722"/>
    </row>
  </sheetData>
  <sheetProtection password="829C" sheet="1" objects="1" scenarios="1" selectLockedCells="1"/>
  <customSheetViews>
    <customSheetView guid="{3055A696-E36D-42C0-8DEA-BCF75BC71F7B}" hiddenColumns="1" state="hidden" topLeftCell="P1">
      <selection activeCell="P1" sqref="P1:AP35"/>
      <pageMargins left="0.75" right="0.75" top="1" bottom="1" header="0" footer="0"/>
      <pageSetup paperSize="9" orientation="portrait" horizontalDpi="0" verticalDpi="0" r:id="rId1"/>
      <headerFooter alignWithMargins="0"/>
    </customSheetView>
  </customSheetViews>
  <phoneticPr fontId="20" type="noConversion"/>
  <pageMargins left="0.75" right="0.75" top="1" bottom="1" header="0" footer="0"/>
  <pageSetup paperSize="9" orientation="portrait" verticalDpi="0" r:id="rId2"/>
  <headerFooter alignWithMargins="0"/>
  <ignoredErrors>
    <ignoredError sqref="J18"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tabColor rgb="FFFFFF00"/>
  </sheetPr>
  <dimension ref="A1"/>
  <sheetViews>
    <sheetView workbookViewId="0">
      <selection activeCell="L19" sqref="L19"/>
    </sheetView>
  </sheetViews>
  <sheetFormatPr baseColWidth="10" defaultRowHeight="12.75" x14ac:dyDescent="0.2"/>
  <sheetData/>
  <customSheetViews>
    <customSheetView guid="{3055A696-E36D-42C0-8DEA-BCF75BC71F7B}" topLeftCell="A7">
      <selection activeCell="L19" sqref="L19"/>
      <pageMargins left="0.7" right="0.7" top="0.75" bottom="0.75" header="0.3" footer="0.3"/>
      <pageSetup paperSize="5" orientation="portrait" r:id="rId1"/>
    </customSheetView>
  </customSheetViews>
  <pageMargins left="0.7" right="0.7" top="0.75" bottom="0.75" header="0.3" footer="0.3"/>
  <pageSetup paperSize="5" orientation="portrait" r:id="rId2"/>
  <drawing r:id="rId3"/>
  <legacyDrawing r:id="rId4"/>
  <oleObjects>
    <mc:AlternateContent xmlns:mc="http://schemas.openxmlformats.org/markup-compatibility/2006">
      <mc:Choice Requires="x14">
        <oleObject progId="Document" shapeId="26626" r:id="rId5">
          <objectPr defaultSize="0" r:id="rId6">
            <anchor moveWithCells="1">
              <from>
                <xdr:col>0</xdr:col>
                <xdr:colOff>47625</xdr:colOff>
                <xdr:row>1</xdr:row>
                <xdr:rowOff>0</xdr:rowOff>
              </from>
              <to>
                <xdr:col>8</xdr:col>
                <xdr:colOff>323850</xdr:colOff>
                <xdr:row>64</xdr:row>
                <xdr:rowOff>95250</xdr:rowOff>
              </to>
            </anchor>
          </objectPr>
        </oleObject>
      </mc:Choice>
      <mc:Fallback>
        <oleObject progId="Document" shapeId="26626"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C2:G24"/>
  <sheetViews>
    <sheetView workbookViewId="0">
      <selection activeCell="G15" sqref="G15"/>
    </sheetView>
  </sheetViews>
  <sheetFormatPr baseColWidth="10" defaultRowHeight="12.75" x14ac:dyDescent="0.2"/>
  <cols>
    <col min="3" max="3" width="14.85546875" bestFit="1" customWidth="1"/>
    <col min="4" max="4" width="19.5703125" customWidth="1"/>
    <col min="6" max="6" width="12.85546875" bestFit="1" customWidth="1"/>
    <col min="7" max="7" width="14.28515625" bestFit="1" customWidth="1"/>
  </cols>
  <sheetData>
    <row r="2" spans="3:7" ht="15" x14ac:dyDescent="0.2">
      <c r="C2" s="1385" t="s">
        <v>715</v>
      </c>
      <c r="D2" s="1385"/>
      <c r="E2" s="1385"/>
      <c r="F2" s="1385"/>
      <c r="G2" s="1385"/>
    </row>
    <row r="3" spans="3:7" x14ac:dyDescent="0.2">
      <c r="C3" s="1386" t="s">
        <v>716</v>
      </c>
      <c r="D3" s="1386"/>
    </row>
    <row r="6" spans="3:7" ht="15.75" x14ac:dyDescent="0.25">
      <c r="D6" s="1387" t="s">
        <v>717</v>
      </c>
      <c r="E6" s="827">
        <f>Datos!C14</f>
        <v>25</v>
      </c>
      <c r="F6" s="828"/>
    </row>
    <row r="7" spans="3:7" x14ac:dyDescent="0.2">
      <c r="D7" s="1211"/>
    </row>
    <row r="8" spans="3:7" ht="13.5" thickBot="1" x14ac:dyDescent="0.25"/>
    <row r="9" spans="3:7" x14ac:dyDescent="0.2">
      <c r="C9" s="1392" t="s">
        <v>718</v>
      </c>
      <c r="D9" s="829" t="s">
        <v>719</v>
      </c>
      <c r="E9" s="854">
        <f>SUM(Datos!D81:G82:'Datos'!D78)</f>
        <v>0</v>
      </c>
      <c r="F9" s="830">
        <f>SUM(Datos!L81:O82:'Datos'!L78)</f>
        <v>0</v>
      </c>
      <c r="G9" s="831">
        <f>SUM(Datos!R81:V82:'Datos'!R78)</f>
        <v>0</v>
      </c>
    </row>
    <row r="10" spans="3:7" ht="13.5" thickBot="1" x14ac:dyDescent="0.25">
      <c r="C10" s="1393"/>
      <c r="D10" s="832" t="s">
        <v>720</v>
      </c>
      <c r="E10" s="855">
        <f>SUM(Datos!D83:G84)</f>
        <v>0</v>
      </c>
      <c r="F10" s="833">
        <f>SUM(Datos!L83:O84)</f>
        <v>0</v>
      </c>
      <c r="G10" s="834">
        <f>SUM(Datos!R83:V84)</f>
        <v>0</v>
      </c>
    </row>
    <row r="11" spans="3:7" ht="16.5" thickBot="1" x14ac:dyDescent="0.3">
      <c r="C11" s="1398" t="s">
        <v>729</v>
      </c>
      <c r="D11" s="1399"/>
      <c r="E11" s="1399"/>
      <c r="F11" s="1400">
        <f>G9+G10</f>
        <v>0</v>
      </c>
      <c r="G11" s="1401"/>
    </row>
    <row r="12" spans="3:7" ht="15.75" x14ac:dyDescent="0.25">
      <c r="C12" s="1394" t="s">
        <v>721</v>
      </c>
      <c r="D12" s="1395"/>
      <c r="E12" s="1395"/>
      <c r="F12" s="1395"/>
      <c r="G12" s="1396"/>
    </row>
    <row r="13" spans="3:7" ht="15.75" x14ac:dyDescent="0.25">
      <c r="C13" s="1388"/>
      <c r="D13" s="1389"/>
      <c r="E13" s="1397" t="s">
        <v>722</v>
      </c>
      <c r="F13" s="1389"/>
      <c r="G13" s="835">
        <v>14000</v>
      </c>
    </row>
    <row r="14" spans="3:7" ht="15.75" x14ac:dyDescent="0.25">
      <c r="C14" s="1388"/>
      <c r="D14" s="1389"/>
      <c r="E14" s="1397" t="s">
        <v>723</v>
      </c>
      <c r="F14" s="1389"/>
      <c r="G14" s="835">
        <v>77000</v>
      </c>
    </row>
    <row r="15" spans="3:7" ht="15.75" x14ac:dyDescent="0.25">
      <c r="C15" s="1388"/>
      <c r="D15" s="1389"/>
      <c r="E15" s="1390" t="s">
        <v>724</v>
      </c>
      <c r="F15" s="1391"/>
      <c r="G15" s="835">
        <f>G23</f>
        <v>0</v>
      </c>
    </row>
    <row r="16" spans="3:7" x14ac:dyDescent="0.2">
      <c r="C16" s="836" t="s">
        <v>725</v>
      </c>
      <c r="D16" s="837" t="s">
        <v>726</v>
      </c>
      <c r="E16" s="837" t="s">
        <v>28</v>
      </c>
      <c r="F16" s="837" t="s">
        <v>725</v>
      </c>
      <c r="G16" s="838" t="s">
        <v>726</v>
      </c>
    </row>
    <row r="17" spans="3:7" x14ac:dyDescent="0.2">
      <c r="C17" s="839">
        <f>100000*E6</f>
        <v>2500000</v>
      </c>
      <c r="D17" s="840">
        <f>C17</f>
        <v>2500000</v>
      </c>
      <c r="E17" s="841">
        <v>2</v>
      </c>
      <c r="F17" s="840">
        <f>IF(AND(F11&lt;=D17),(F11)*E17%,IF(F11&gt;D17,(D17*E17%),0))</f>
        <v>0</v>
      </c>
      <c r="G17" s="842">
        <f>F17</f>
        <v>0</v>
      </c>
    </row>
    <row r="18" spans="3:7" x14ac:dyDescent="0.2">
      <c r="C18" s="839">
        <f>400000*E6</f>
        <v>10000000</v>
      </c>
      <c r="D18" s="840">
        <f>500000*E6</f>
        <v>12500000</v>
      </c>
      <c r="E18" s="841">
        <v>1.5</v>
      </c>
      <c r="F18" s="840">
        <f>IF(AND(F11&lt;=D18),(F11-D17)*E18%,IF(F11&gt;D18,(C18*E18%),0))</f>
        <v>-37500</v>
      </c>
      <c r="G18" s="842">
        <f>IF(F18&gt;0,(F18+G17),0)</f>
        <v>0</v>
      </c>
    </row>
    <row r="19" spans="3:7" x14ac:dyDescent="0.2">
      <c r="C19" s="839">
        <f>500000*E6</f>
        <v>12500000</v>
      </c>
      <c r="D19" s="840">
        <f>1000000*E6</f>
        <v>25000000</v>
      </c>
      <c r="E19" s="841">
        <v>1</v>
      </c>
      <c r="F19" s="840">
        <f>IF(AND(F11&lt;=D19),(F11-D18)*E19%,IF(F11&gt;D19,(C19*E19%)))</f>
        <v>-125000</v>
      </c>
      <c r="G19" s="842">
        <f>IF(F19&gt;0,(F19+G18),0)</f>
        <v>0</v>
      </c>
    </row>
    <row r="20" spans="3:7" x14ac:dyDescent="0.2">
      <c r="C20" s="839">
        <f>9000000*E6</f>
        <v>225000000</v>
      </c>
      <c r="D20" s="840">
        <f>10000000*E6</f>
        <v>250000000</v>
      </c>
      <c r="E20" s="841">
        <v>0.8</v>
      </c>
      <c r="F20" s="840">
        <f>IF(AND(F11&lt;=D20),(F11-D19)*E20%,IF(F11&gt;D20,(C20*E20%)))</f>
        <v>-200000</v>
      </c>
      <c r="G20" s="842">
        <f>IF(F20&gt;0,(F20+G19),0)</f>
        <v>0</v>
      </c>
    </row>
    <row r="21" spans="3:7" x14ac:dyDescent="0.2">
      <c r="C21" s="839">
        <f>(100000000-30000000)*H1</f>
        <v>0</v>
      </c>
      <c r="D21" s="840">
        <f>100000000*H1</f>
        <v>0</v>
      </c>
      <c r="E21" s="841">
        <v>0.5</v>
      </c>
      <c r="F21" s="840">
        <f>IF(AND(F11&lt;=D21),(F11-D20)*E21%,IF(F11&gt;D21,(C21*E21%),0))</f>
        <v>-1250000</v>
      </c>
      <c r="G21" s="842">
        <f>IF(F21&gt;0,(F21+G20),0)</f>
        <v>0</v>
      </c>
    </row>
    <row r="22" spans="3:7" ht="13.5" thickBot="1" x14ac:dyDescent="0.25">
      <c r="C22" s="843" t="s">
        <v>727</v>
      </c>
      <c r="D22" s="844">
        <f>F11-D21</f>
        <v>0</v>
      </c>
      <c r="E22" s="845">
        <v>0</v>
      </c>
      <c r="F22" s="846">
        <f>IF(F11&gt;D21,D22*E22%,0)</f>
        <v>0</v>
      </c>
      <c r="G22" s="847"/>
    </row>
    <row r="23" spans="3:7" ht="13.5" thickBot="1" x14ac:dyDescent="0.25">
      <c r="C23" s="848"/>
      <c r="D23" s="849"/>
      <c r="E23" s="850"/>
      <c r="F23" s="851" t="s">
        <v>728</v>
      </c>
      <c r="G23" s="852">
        <f>MAX(G17:G22)+F22</f>
        <v>0</v>
      </c>
    </row>
    <row r="24" spans="3:7" ht="16.5" thickBot="1" x14ac:dyDescent="0.3">
      <c r="C24" s="1382" t="s">
        <v>730</v>
      </c>
      <c r="D24" s="1383"/>
      <c r="E24" s="1383"/>
      <c r="F24" s="1384"/>
      <c r="G24" s="853">
        <f>G13+G14+G15</f>
        <v>91000</v>
      </c>
    </row>
  </sheetData>
  <sheetProtection algorithmName="SHA-512" hashValue="Zx8qdhWOjnH8EdQR1FeZf5GXq+5+97QVSokA5Yn02Esmkbx9s6XCBs/kaJ1u9bIySDdQqaxYR7ArP4vO5MQlGQ==" saltValue="fCeK1sJyrhExm8TKgOUSZA==" spinCount="100000" sheet="1" objects="1" scenarios="1"/>
  <customSheetViews>
    <customSheetView guid="{3055A696-E36D-42C0-8DEA-BCF75BC71F7B}" topLeftCell="A4">
      <selection activeCell="E9" sqref="E9"/>
      <pageMargins left="0.7" right="0.7" top="0.75" bottom="0.75" header="0.3" footer="0.3"/>
    </customSheetView>
  </customSheetViews>
  <mergeCells count="14">
    <mergeCell ref="C24:F24"/>
    <mergeCell ref="C2:G2"/>
    <mergeCell ref="C3:D3"/>
    <mergeCell ref="D6:D7"/>
    <mergeCell ref="C15:D15"/>
    <mergeCell ref="E15:F15"/>
    <mergeCell ref="C9:C10"/>
    <mergeCell ref="C12:G12"/>
    <mergeCell ref="C13:D13"/>
    <mergeCell ref="E13:F13"/>
    <mergeCell ref="C14:D14"/>
    <mergeCell ref="E14:F14"/>
    <mergeCell ref="C11:E11"/>
    <mergeCell ref="F11:G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O49"/>
  <sheetViews>
    <sheetView topLeftCell="A4" workbookViewId="0">
      <selection activeCell="F13" sqref="F13"/>
    </sheetView>
  </sheetViews>
  <sheetFormatPr baseColWidth="10" defaultRowHeight="12.75" x14ac:dyDescent="0.2"/>
  <cols>
    <col min="2" max="2" width="8" customWidth="1"/>
    <col min="3" max="3" width="8.140625" customWidth="1"/>
    <col min="4" max="4" width="8.42578125" customWidth="1"/>
    <col min="5" max="6" width="4.7109375" customWidth="1"/>
    <col min="7" max="7" width="2" customWidth="1"/>
    <col min="8" max="8" width="6.28515625" customWidth="1"/>
    <col min="9" max="10" width="6.42578125" customWidth="1"/>
    <col min="11" max="11" width="8" customWidth="1"/>
    <col min="12" max="12" width="3.42578125" customWidth="1"/>
    <col min="13" max="13" width="10.85546875" customWidth="1"/>
    <col min="14" max="14" width="7" customWidth="1"/>
  </cols>
  <sheetData>
    <row r="1" spans="2:15" ht="13.5" thickBot="1" x14ac:dyDescent="0.25"/>
    <row r="2" spans="2:15" ht="13.5" thickTop="1" x14ac:dyDescent="0.2">
      <c r="B2" s="856"/>
      <c r="C2" s="857"/>
      <c r="D2" s="857"/>
      <c r="E2" s="857"/>
      <c r="F2" s="857"/>
      <c r="G2" s="857"/>
      <c r="H2" s="857"/>
      <c r="I2" s="857"/>
      <c r="J2" s="857"/>
      <c r="K2" s="857"/>
      <c r="L2" s="857"/>
      <c r="M2" s="857"/>
      <c r="N2" s="857"/>
      <c r="O2" s="858"/>
    </row>
    <row r="3" spans="2:15" x14ac:dyDescent="0.2">
      <c r="B3" s="859"/>
      <c r="C3" s="860"/>
      <c r="D3" s="860"/>
      <c r="E3" s="860"/>
      <c r="F3" s="860"/>
      <c r="G3" s="860"/>
      <c r="H3" s="860"/>
      <c r="I3" s="860"/>
      <c r="J3" s="860"/>
      <c r="K3" s="860"/>
      <c r="L3" s="860"/>
      <c r="M3" s="1402" t="s">
        <v>757</v>
      </c>
      <c r="N3" s="1402"/>
      <c r="O3" s="1403"/>
    </row>
    <row r="4" spans="2:15" x14ac:dyDescent="0.2">
      <c r="B4" s="859"/>
      <c r="C4" s="860"/>
      <c r="D4" s="860"/>
      <c r="E4" s="860"/>
      <c r="F4" s="860"/>
      <c r="G4" s="860"/>
      <c r="H4" s="860"/>
      <c r="I4" s="860"/>
      <c r="J4" s="860"/>
      <c r="K4" s="860"/>
      <c r="L4" s="860"/>
      <c r="M4" s="1402"/>
      <c r="N4" s="1402"/>
      <c r="O4" s="1403"/>
    </row>
    <row r="5" spans="2:15" x14ac:dyDescent="0.2">
      <c r="B5" s="859"/>
      <c r="C5" s="860"/>
      <c r="D5" s="860"/>
      <c r="E5" s="860"/>
      <c r="F5" s="860"/>
      <c r="G5" s="860"/>
      <c r="H5" s="860"/>
      <c r="I5" s="860"/>
      <c r="J5" s="860"/>
      <c r="K5" s="860"/>
      <c r="L5" s="860"/>
      <c r="M5" s="1402"/>
      <c r="N5" s="1402"/>
      <c r="O5" s="1403"/>
    </row>
    <row r="6" spans="2:15" x14ac:dyDescent="0.2">
      <c r="B6" s="859"/>
      <c r="C6" s="860"/>
      <c r="D6" s="860"/>
      <c r="E6" s="860"/>
      <c r="F6" s="860"/>
      <c r="G6" s="860"/>
      <c r="H6" s="860"/>
      <c r="I6" s="860"/>
      <c r="J6" s="860"/>
      <c r="K6" s="860"/>
      <c r="L6" s="860"/>
      <c r="M6" s="1402"/>
      <c r="N6" s="1402"/>
      <c r="O6" s="1403"/>
    </row>
    <row r="7" spans="2:15" x14ac:dyDescent="0.2">
      <c r="B7" s="859"/>
      <c r="C7" s="860"/>
      <c r="D7" s="860"/>
      <c r="E7" s="860"/>
      <c r="F7" s="860"/>
      <c r="G7" s="860"/>
      <c r="H7" s="860"/>
      <c r="I7" s="860"/>
      <c r="J7" s="860"/>
      <c r="K7" s="860"/>
      <c r="L7" s="860"/>
      <c r="M7" s="860"/>
      <c r="N7" s="860"/>
      <c r="O7" s="861"/>
    </row>
    <row r="8" spans="2:15" ht="13.5" thickBot="1" x14ac:dyDescent="0.25">
      <c r="B8" s="862"/>
      <c r="C8" s="863"/>
      <c r="D8" s="863"/>
      <c r="E8" s="863"/>
      <c r="F8" s="863"/>
      <c r="G8" s="863"/>
      <c r="H8" s="863"/>
      <c r="I8" s="863"/>
      <c r="J8" s="863"/>
      <c r="K8" s="863"/>
      <c r="L8" s="863"/>
      <c r="M8" s="863"/>
      <c r="N8" s="863"/>
      <c r="O8" s="864"/>
    </row>
    <row r="9" spans="2:15" ht="13.5" thickTop="1" x14ac:dyDescent="0.2">
      <c r="B9" s="856"/>
      <c r="C9" s="857"/>
      <c r="D9" s="857"/>
      <c r="E9" s="857"/>
      <c r="F9" s="857"/>
      <c r="G9" s="857"/>
      <c r="H9" s="857"/>
      <c r="I9" s="857"/>
      <c r="J9" s="857"/>
      <c r="K9" s="857"/>
      <c r="L9" s="857"/>
      <c r="M9" s="857"/>
      <c r="N9" s="857"/>
      <c r="O9" s="858"/>
    </row>
    <row r="10" spans="2:15" ht="15.75" x14ac:dyDescent="0.25">
      <c r="B10" s="859"/>
      <c r="C10" s="865" t="s">
        <v>756</v>
      </c>
      <c r="D10" s="860"/>
      <c r="E10" s="860"/>
      <c r="F10" s="860"/>
      <c r="G10" s="860"/>
      <c r="H10" s="860"/>
      <c r="I10" s="860"/>
      <c r="J10" s="860"/>
      <c r="K10" s="860"/>
      <c r="L10" s="860"/>
      <c r="M10" s="860"/>
      <c r="N10" s="860"/>
      <c r="O10" s="861"/>
    </row>
    <row r="11" spans="2:15" ht="13.5" thickBot="1" x14ac:dyDescent="0.25">
      <c r="B11" s="859"/>
      <c r="C11" s="860"/>
      <c r="D11" s="860"/>
      <c r="E11" s="860"/>
      <c r="F11" s="860"/>
      <c r="G11" s="860"/>
      <c r="H11" s="860"/>
      <c r="I11" s="860"/>
      <c r="J11" s="860"/>
      <c r="K11" s="860"/>
      <c r="L11" s="860"/>
      <c r="M11" s="860"/>
      <c r="N11" s="860"/>
      <c r="O11" s="861"/>
    </row>
    <row r="12" spans="2:15" ht="13.5" thickBot="1" x14ac:dyDescent="0.25">
      <c r="B12" s="859"/>
      <c r="C12" s="866" t="s">
        <v>755</v>
      </c>
      <c r="D12" s="860"/>
      <c r="E12" s="860"/>
      <c r="F12" s="1404"/>
      <c r="G12" s="1405"/>
      <c r="H12" s="1405"/>
      <c r="I12" s="1405"/>
      <c r="J12" s="1405"/>
      <c r="K12" s="1405"/>
      <c r="L12" s="1405"/>
      <c r="M12" s="1405"/>
      <c r="N12" s="1406"/>
      <c r="O12" s="861"/>
    </row>
    <row r="13" spans="2:15" ht="13.5" thickBot="1" x14ac:dyDescent="0.25">
      <c r="B13" s="859"/>
      <c r="C13" s="860"/>
      <c r="D13" s="860"/>
      <c r="E13" s="860"/>
      <c r="F13" s="860"/>
      <c r="G13" s="860"/>
      <c r="H13" s="860"/>
      <c r="I13" s="860"/>
      <c r="J13" s="860"/>
      <c r="K13" s="860"/>
      <c r="L13" s="860"/>
      <c r="M13" s="860"/>
      <c r="N13" s="860"/>
      <c r="O13" s="861"/>
    </row>
    <row r="14" spans="2:15" ht="13.5" thickBot="1" x14ac:dyDescent="0.25">
      <c r="B14" s="859"/>
      <c r="C14" s="860" t="s">
        <v>754</v>
      </c>
      <c r="D14" s="860"/>
      <c r="E14" s="1407">
        <f>Datos!K31</f>
        <v>0</v>
      </c>
      <c r="F14" s="1408"/>
      <c r="G14" s="1408"/>
      <c r="H14" s="1408"/>
      <c r="I14" s="1408"/>
      <c r="J14" s="1408"/>
      <c r="K14" s="1408"/>
      <c r="L14" s="1408"/>
      <c r="M14" s="1408"/>
      <c r="N14" s="1409"/>
      <c r="O14" s="861"/>
    </row>
    <row r="15" spans="2:15" x14ac:dyDescent="0.2">
      <c r="B15" s="859"/>
      <c r="C15" s="860"/>
      <c r="D15" s="860"/>
      <c r="E15" s="860"/>
      <c r="F15" s="860"/>
      <c r="G15" s="860"/>
      <c r="H15" s="860"/>
      <c r="I15" s="860"/>
      <c r="J15" s="860"/>
      <c r="K15" s="860"/>
      <c r="L15" s="860"/>
      <c r="M15" s="860"/>
      <c r="N15" s="860"/>
      <c r="O15" s="861"/>
    </row>
    <row r="16" spans="2:15" ht="13.5" thickBot="1" x14ac:dyDescent="0.25">
      <c r="B16" s="859"/>
      <c r="C16" s="867" t="s">
        <v>753</v>
      </c>
      <c r="D16" s="860"/>
      <c r="E16" s="860"/>
      <c r="F16" s="860"/>
      <c r="G16" s="860"/>
      <c r="H16" s="860"/>
      <c r="I16" s="860"/>
      <c r="J16" s="860"/>
      <c r="K16" s="860"/>
      <c r="L16" s="860"/>
      <c r="M16" s="860"/>
      <c r="N16" s="860"/>
      <c r="O16" s="861"/>
    </row>
    <row r="17" spans="2:15" ht="13.5" thickBot="1" x14ac:dyDescent="0.25">
      <c r="B17" s="859"/>
      <c r="C17" s="868"/>
      <c r="D17" s="869" t="s">
        <v>751</v>
      </c>
      <c r="E17" s="1410">
        <f>Datos!K32</f>
        <v>0</v>
      </c>
      <c r="F17" s="1411"/>
      <c r="G17" s="1411"/>
      <c r="H17" s="1411"/>
      <c r="I17" s="1411"/>
      <c r="J17" s="1411"/>
      <c r="K17" s="1411"/>
      <c r="L17" s="1411"/>
      <c r="M17" s="1411"/>
      <c r="N17" s="1412"/>
      <c r="O17" s="861"/>
    </row>
    <row r="18" spans="2:15" ht="13.5" thickBot="1" x14ac:dyDescent="0.25">
      <c r="B18" s="859"/>
      <c r="C18" s="868"/>
      <c r="D18" s="869" t="s">
        <v>750</v>
      </c>
      <c r="E18" s="1413">
        <f>Datos!K33</f>
        <v>0</v>
      </c>
      <c r="F18" s="1414"/>
      <c r="G18" s="860"/>
      <c r="H18" s="868" t="s">
        <v>749</v>
      </c>
      <c r="I18" s="860"/>
      <c r="J18" s="868" t="s">
        <v>748</v>
      </c>
      <c r="K18" s="1415"/>
      <c r="L18" s="1415"/>
      <c r="M18" s="868"/>
      <c r="N18" s="868"/>
      <c r="O18" s="861"/>
    </row>
    <row r="19" spans="2:15" ht="13.5" thickBot="1" x14ac:dyDescent="0.25">
      <c r="B19" s="859"/>
      <c r="C19" s="868"/>
      <c r="D19" s="869" t="s">
        <v>747</v>
      </c>
      <c r="E19" s="870"/>
      <c r="F19" s="868" t="s">
        <v>746</v>
      </c>
      <c r="G19" s="870" t="s">
        <v>737</v>
      </c>
      <c r="H19" s="868" t="s">
        <v>745</v>
      </c>
      <c r="I19" s="870" t="s">
        <v>737</v>
      </c>
      <c r="J19" s="868" t="s">
        <v>744</v>
      </c>
      <c r="K19" s="868"/>
      <c r="L19" s="870"/>
      <c r="M19" s="868"/>
      <c r="N19" s="868"/>
      <c r="O19" s="861"/>
    </row>
    <row r="20" spans="2:15" ht="13.5" thickBot="1" x14ac:dyDescent="0.25">
      <c r="B20" s="859"/>
      <c r="C20" s="868"/>
      <c r="D20" s="869"/>
      <c r="E20" s="868"/>
      <c r="F20" s="868"/>
      <c r="G20" s="868" t="s">
        <v>743</v>
      </c>
      <c r="H20" s="868"/>
      <c r="I20" s="1416" t="s">
        <v>758</v>
      </c>
      <c r="J20" s="1416"/>
      <c r="K20" s="1416"/>
      <c r="L20" s="870"/>
      <c r="M20" s="868"/>
      <c r="N20" s="868"/>
      <c r="O20" s="861"/>
    </row>
    <row r="21" spans="2:15" ht="13.5" thickBot="1" x14ac:dyDescent="0.25">
      <c r="B21" s="859"/>
      <c r="C21" s="868"/>
      <c r="D21" s="869" t="s">
        <v>742</v>
      </c>
      <c r="E21" s="1414">
        <v>8000</v>
      </c>
      <c r="F21" s="1414"/>
      <c r="G21" s="868"/>
      <c r="H21" s="868" t="s">
        <v>741</v>
      </c>
      <c r="I21" s="1416">
        <f>Datos!K35</f>
        <v>0</v>
      </c>
      <c r="J21" s="1416"/>
      <c r="K21" s="1416"/>
      <c r="L21" s="1416"/>
      <c r="M21" s="868"/>
      <c r="N21" s="868"/>
      <c r="O21" s="861"/>
    </row>
    <row r="22" spans="2:15" ht="13.5" thickBot="1" x14ac:dyDescent="0.25">
      <c r="B22" s="859"/>
      <c r="C22" s="868"/>
      <c r="D22" s="869" t="s">
        <v>740</v>
      </c>
      <c r="E22" s="1411">
        <f>Datos!K34</f>
        <v>0</v>
      </c>
      <c r="F22" s="1411"/>
      <c r="G22" s="1411"/>
      <c r="H22" s="1411"/>
      <c r="I22" s="1411"/>
      <c r="J22" s="1411"/>
      <c r="K22" s="1411"/>
      <c r="L22" s="1411"/>
      <c r="M22" s="868"/>
      <c r="N22" s="868"/>
      <c r="O22" s="861"/>
    </row>
    <row r="23" spans="2:15" ht="13.5" thickBot="1" x14ac:dyDescent="0.25">
      <c r="B23" s="859"/>
      <c r="C23" s="868"/>
      <c r="D23" s="869" t="s">
        <v>739</v>
      </c>
      <c r="E23" s="870"/>
      <c r="F23" s="871" t="s">
        <v>737</v>
      </c>
      <c r="G23" s="870"/>
      <c r="H23" s="870"/>
      <c r="I23" s="870"/>
      <c r="J23" s="868" t="s">
        <v>738</v>
      </c>
      <c r="K23" s="870"/>
      <c r="L23" s="871" t="s">
        <v>737</v>
      </c>
      <c r="M23" s="1417"/>
      <c r="N23" s="1418"/>
      <c r="O23" s="861"/>
    </row>
    <row r="24" spans="2:15" ht="13.5" thickBot="1" x14ac:dyDescent="0.25">
      <c r="B24" s="859"/>
      <c r="C24" s="868"/>
      <c r="D24" s="869" t="s">
        <v>736</v>
      </c>
      <c r="E24" s="1410"/>
      <c r="F24" s="1411"/>
      <c r="G24" s="1411"/>
      <c r="H24" s="1411"/>
      <c r="I24" s="1411"/>
      <c r="J24" s="1411"/>
      <c r="K24" s="1411"/>
      <c r="L24" s="1411"/>
      <c r="M24" s="1411"/>
      <c r="N24" s="1412"/>
      <c r="O24" s="861"/>
    </row>
    <row r="25" spans="2:15" ht="13.5" thickBot="1" x14ac:dyDescent="0.25">
      <c r="B25" s="859"/>
      <c r="C25" s="868"/>
      <c r="D25" s="869" t="s">
        <v>568</v>
      </c>
      <c r="E25" s="1410"/>
      <c r="F25" s="1411"/>
      <c r="G25" s="1411"/>
      <c r="H25" s="1411"/>
      <c r="I25" s="1411"/>
      <c r="J25" s="1411"/>
      <c r="K25" s="1411"/>
      <c r="L25" s="1411"/>
      <c r="M25" s="1411"/>
      <c r="N25" s="1412"/>
      <c r="O25" s="861"/>
    </row>
    <row r="26" spans="2:15" x14ac:dyDescent="0.2">
      <c r="B26" s="859"/>
      <c r="C26" s="860"/>
      <c r="D26" s="860"/>
      <c r="E26" s="860"/>
      <c r="F26" s="860"/>
      <c r="G26" s="860"/>
      <c r="H26" s="860"/>
      <c r="I26" s="860"/>
      <c r="J26" s="860"/>
      <c r="K26" s="860"/>
      <c r="L26" s="860"/>
      <c r="M26" s="860"/>
      <c r="N26" s="860"/>
      <c r="O26" s="861"/>
    </row>
    <row r="27" spans="2:15" x14ac:dyDescent="0.2">
      <c r="B27" s="859"/>
      <c r="C27" s="860"/>
      <c r="D27" s="860"/>
      <c r="E27" s="860"/>
      <c r="F27" s="860"/>
      <c r="G27" s="860"/>
      <c r="H27" s="860"/>
      <c r="I27" s="860"/>
      <c r="J27" s="860"/>
      <c r="K27" s="860"/>
      <c r="L27" s="860"/>
      <c r="M27" s="860"/>
      <c r="N27" s="860"/>
      <c r="O27" s="861"/>
    </row>
    <row r="28" spans="2:15" ht="13.5" thickBot="1" x14ac:dyDescent="0.25">
      <c r="B28" s="859"/>
      <c r="C28" s="867" t="s">
        <v>752</v>
      </c>
      <c r="D28" s="860"/>
      <c r="E28" s="860"/>
      <c r="F28" s="860"/>
      <c r="G28" s="860"/>
      <c r="H28" s="860"/>
      <c r="I28" s="860"/>
      <c r="J28" s="860"/>
      <c r="K28" s="860"/>
      <c r="L28" s="860"/>
      <c r="M28" s="860"/>
      <c r="N28" s="860"/>
      <c r="O28" s="861"/>
    </row>
    <row r="29" spans="2:15" ht="13.5" thickBot="1" x14ac:dyDescent="0.25">
      <c r="B29" s="859"/>
      <c r="C29" s="868"/>
      <c r="D29" s="869" t="s">
        <v>751</v>
      </c>
      <c r="E29" s="1410">
        <f>Datos!K45</f>
        <v>0</v>
      </c>
      <c r="F29" s="1411"/>
      <c r="G29" s="1411"/>
      <c r="H29" s="1411"/>
      <c r="I29" s="1411"/>
      <c r="J29" s="1411"/>
      <c r="K29" s="1411"/>
      <c r="L29" s="1411"/>
      <c r="M29" s="1411"/>
      <c r="N29" s="1412"/>
      <c r="O29" s="861"/>
    </row>
    <row r="30" spans="2:15" ht="13.5" thickBot="1" x14ac:dyDescent="0.25">
      <c r="B30" s="859"/>
      <c r="C30" s="868"/>
      <c r="D30" s="869" t="s">
        <v>750</v>
      </c>
      <c r="E30" s="1413">
        <f>Datos!K46</f>
        <v>0</v>
      </c>
      <c r="F30" s="1414"/>
      <c r="G30" s="860"/>
      <c r="H30" s="868" t="s">
        <v>749</v>
      </c>
      <c r="I30" s="860"/>
      <c r="J30" s="868" t="s">
        <v>748</v>
      </c>
      <c r="K30" s="1415"/>
      <c r="L30" s="1415"/>
      <c r="M30" s="868"/>
      <c r="N30" s="868"/>
      <c r="O30" s="861"/>
    </row>
    <row r="31" spans="2:15" ht="13.5" thickBot="1" x14ac:dyDescent="0.25">
      <c r="B31" s="859"/>
      <c r="C31" s="868"/>
      <c r="D31" s="869"/>
      <c r="E31" s="860"/>
      <c r="F31" s="868" t="s">
        <v>746</v>
      </c>
      <c r="G31" s="870" t="s">
        <v>737</v>
      </c>
      <c r="H31" s="868" t="s">
        <v>745</v>
      </c>
      <c r="I31" s="870" t="s">
        <v>737</v>
      </c>
      <c r="J31" s="868" t="s">
        <v>744</v>
      </c>
      <c r="K31" s="868"/>
      <c r="L31" s="870"/>
      <c r="M31" s="868"/>
      <c r="N31" s="868"/>
      <c r="O31" s="861"/>
    </row>
    <row r="32" spans="2:15" ht="13.5" thickBot="1" x14ac:dyDescent="0.25">
      <c r="B32" s="859"/>
      <c r="C32" s="868"/>
      <c r="D32" s="869"/>
      <c r="E32" s="868"/>
      <c r="F32" s="868"/>
      <c r="G32" s="868" t="s">
        <v>743</v>
      </c>
      <c r="H32" s="868"/>
      <c r="I32" s="1416" t="s">
        <v>758</v>
      </c>
      <c r="J32" s="1416"/>
      <c r="K32" s="1416"/>
      <c r="L32" s="870"/>
      <c r="M32" s="868"/>
      <c r="N32" s="868"/>
      <c r="O32" s="861"/>
    </row>
    <row r="33" spans="2:15" ht="13.5" thickBot="1" x14ac:dyDescent="0.25">
      <c r="B33" s="859"/>
      <c r="C33" s="868"/>
      <c r="D33" s="869" t="s">
        <v>742</v>
      </c>
      <c r="E33" s="1414">
        <v>8000</v>
      </c>
      <c r="F33" s="1414"/>
      <c r="G33" s="868"/>
      <c r="H33" s="868" t="s">
        <v>741</v>
      </c>
      <c r="I33" s="1416">
        <f>Datos!K48</f>
        <v>0</v>
      </c>
      <c r="J33" s="1416"/>
      <c r="K33" s="1416"/>
      <c r="L33" s="1416"/>
      <c r="M33" s="868"/>
      <c r="N33" s="868"/>
      <c r="O33" s="861"/>
    </row>
    <row r="34" spans="2:15" ht="13.5" thickBot="1" x14ac:dyDescent="0.25">
      <c r="B34" s="859"/>
      <c r="C34" s="868"/>
      <c r="D34" s="869" t="s">
        <v>740</v>
      </c>
      <c r="E34" s="1411">
        <f>Datos!K47</f>
        <v>0</v>
      </c>
      <c r="F34" s="1411"/>
      <c r="G34" s="1411"/>
      <c r="H34" s="1411"/>
      <c r="I34" s="1411"/>
      <c r="J34" s="1411"/>
      <c r="K34" s="1411"/>
      <c r="L34" s="1411"/>
      <c r="M34" s="868"/>
      <c r="N34" s="868"/>
      <c r="O34" s="861"/>
    </row>
    <row r="35" spans="2:15" ht="13.5" thickBot="1" x14ac:dyDescent="0.25">
      <c r="B35" s="859"/>
      <c r="C35" s="868"/>
      <c r="D35" s="869" t="s">
        <v>739</v>
      </c>
      <c r="E35" s="870"/>
      <c r="F35" s="871" t="s">
        <v>737</v>
      </c>
      <c r="G35" s="870"/>
      <c r="H35" s="870"/>
      <c r="I35" s="870"/>
      <c r="J35" s="868" t="s">
        <v>738</v>
      </c>
      <c r="K35" s="870"/>
      <c r="L35" s="871" t="s">
        <v>737</v>
      </c>
      <c r="M35" s="1417"/>
      <c r="N35" s="1418"/>
      <c r="O35" s="861"/>
    </row>
    <row r="36" spans="2:15" ht="13.5" thickBot="1" x14ac:dyDescent="0.25">
      <c r="B36" s="859"/>
      <c r="C36" s="868"/>
      <c r="D36" s="869" t="s">
        <v>736</v>
      </c>
      <c r="E36" s="1410"/>
      <c r="F36" s="1411"/>
      <c r="G36" s="1411"/>
      <c r="H36" s="1411"/>
      <c r="I36" s="1411"/>
      <c r="J36" s="1411"/>
      <c r="K36" s="1411"/>
      <c r="L36" s="1411"/>
      <c r="M36" s="1411"/>
      <c r="N36" s="1412"/>
      <c r="O36" s="861"/>
    </row>
    <row r="37" spans="2:15" ht="13.5" thickBot="1" x14ac:dyDescent="0.25">
      <c r="B37" s="859"/>
      <c r="C37" s="868"/>
      <c r="D37" s="869" t="s">
        <v>568</v>
      </c>
      <c r="E37" s="1410"/>
      <c r="F37" s="1411"/>
      <c r="G37" s="1411"/>
      <c r="H37" s="1411"/>
      <c r="I37" s="1411"/>
      <c r="J37" s="1411"/>
      <c r="K37" s="1411"/>
      <c r="L37" s="1411"/>
      <c r="M37" s="1411"/>
      <c r="N37" s="1412"/>
      <c r="O37" s="861"/>
    </row>
    <row r="38" spans="2:15" x14ac:dyDescent="0.2">
      <c r="B38" s="859"/>
      <c r="C38" s="860"/>
      <c r="D38" s="860"/>
      <c r="E38" s="860"/>
      <c r="F38" s="860"/>
      <c r="G38" s="860"/>
      <c r="H38" s="860"/>
      <c r="I38" s="860"/>
      <c r="J38" s="860"/>
      <c r="K38" s="860"/>
      <c r="L38" s="860"/>
      <c r="M38" s="860"/>
      <c r="N38" s="860"/>
      <c r="O38" s="861"/>
    </row>
    <row r="39" spans="2:15" x14ac:dyDescent="0.2">
      <c r="B39" s="859"/>
      <c r="C39" s="860"/>
      <c r="D39" s="860"/>
      <c r="E39" s="860"/>
      <c r="F39" s="860"/>
      <c r="G39" s="860"/>
      <c r="H39" s="860"/>
      <c r="I39" s="860"/>
      <c r="J39" s="860"/>
      <c r="K39" s="860"/>
      <c r="L39" s="860"/>
      <c r="M39" s="860"/>
      <c r="N39" s="860"/>
      <c r="O39" s="861"/>
    </row>
    <row r="40" spans="2:15" x14ac:dyDescent="0.2">
      <c r="B40" s="859"/>
      <c r="C40" s="860"/>
      <c r="D40" s="860"/>
      <c r="E40" s="860"/>
      <c r="F40" s="860"/>
      <c r="G40" s="860"/>
      <c r="H40" s="860"/>
      <c r="I40" s="860"/>
      <c r="J40" s="860"/>
      <c r="K40" s="860"/>
      <c r="L40" s="860"/>
      <c r="M40" s="860"/>
      <c r="N40" s="860"/>
      <c r="O40" s="861"/>
    </row>
    <row r="41" spans="2:15" x14ac:dyDescent="0.2">
      <c r="B41" s="1419" t="s">
        <v>759</v>
      </c>
      <c r="C41" s="1420"/>
      <c r="D41" s="1421">
        <f>Datos!K29</f>
        <v>0</v>
      </c>
      <c r="E41" s="1421"/>
      <c r="F41" s="1421"/>
      <c r="G41" s="1421"/>
      <c r="H41" s="1421"/>
      <c r="I41" s="1421"/>
      <c r="J41" s="1421"/>
      <c r="K41" s="1421"/>
      <c r="L41" s="1420" t="s">
        <v>760</v>
      </c>
      <c r="M41" s="1420"/>
      <c r="N41" s="860"/>
      <c r="O41" s="861"/>
    </row>
    <row r="42" spans="2:15" x14ac:dyDescent="0.2">
      <c r="B42" s="1419" t="s">
        <v>761</v>
      </c>
      <c r="C42" s="1420"/>
      <c r="D42" s="1421">
        <f>Datos!K31</f>
        <v>0</v>
      </c>
      <c r="E42" s="1421"/>
      <c r="F42" s="860" t="s">
        <v>765</v>
      </c>
      <c r="G42" s="860"/>
      <c r="H42" s="860"/>
      <c r="I42" s="860"/>
      <c r="J42" s="860"/>
      <c r="K42" s="860"/>
      <c r="L42" s="860"/>
      <c r="M42" s="860"/>
      <c r="N42" s="860"/>
      <c r="O42" s="861"/>
    </row>
    <row r="43" spans="2:15" x14ac:dyDescent="0.2">
      <c r="B43" s="859" t="s">
        <v>762</v>
      </c>
      <c r="C43" s="860"/>
      <c r="D43" s="860"/>
      <c r="E43" s="860"/>
      <c r="F43" s="860"/>
      <c r="G43" s="860"/>
      <c r="H43" s="860"/>
      <c r="I43" s="860"/>
      <c r="J43" s="860"/>
      <c r="K43" s="860"/>
      <c r="L43" s="860"/>
      <c r="M43" s="860"/>
      <c r="N43" s="860"/>
      <c r="O43" s="861"/>
    </row>
    <row r="44" spans="2:15" x14ac:dyDescent="0.2">
      <c r="B44" s="859" t="s">
        <v>763</v>
      </c>
      <c r="C44" s="860"/>
      <c r="D44" s="860"/>
      <c r="E44" s="860"/>
      <c r="F44" s="860"/>
      <c r="G44" s="860"/>
      <c r="H44" s="860"/>
      <c r="I44" s="860"/>
      <c r="J44" s="860"/>
      <c r="K44" s="860"/>
      <c r="L44" s="860"/>
      <c r="M44" s="860"/>
      <c r="N44" s="860"/>
      <c r="O44" s="861"/>
    </row>
    <row r="45" spans="2:15" x14ac:dyDescent="0.2">
      <c r="B45" s="859" t="s">
        <v>764</v>
      </c>
      <c r="C45" s="860"/>
      <c r="D45" s="860"/>
      <c r="E45" s="860"/>
      <c r="F45" s="860"/>
      <c r="G45" s="860"/>
      <c r="H45" s="860"/>
      <c r="I45" s="860"/>
      <c r="J45" s="860"/>
      <c r="K45" s="860"/>
      <c r="L45" s="860"/>
      <c r="M45" s="860"/>
      <c r="N45" s="860"/>
      <c r="O45" s="861"/>
    </row>
    <row r="46" spans="2:15" x14ac:dyDescent="0.2">
      <c r="B46" s="859"/>
      <c r="C46" s="860"/>
      <c r="D46" s="860"/>
      <c r="E46" s="860"/>
      <c r="F46" s="860"/>
      <c r="G46" s="860"/>
      <c r="H46" s="860"/>
      <c r="I46" s="860"/>
      <c r="J46" s="860"/>
      <c r="K46" s="860"/>
      <c r="L46" s="860"/>
      <c r="M46" s="860"/>
      <c r="N46" s="860"/>
      <c r="O46" s="861"/>
    </row>
    <row r="47" spans="2:15" x14ac:dyDescent="0.2">
      <c r="B47" s="859"/>
      <c r="C47" s="860"/>
      <c r="D47" s="860"/>
      <c r="E47" s="860"/>
      <c r="F47" s="860"/>
      <c r="G47" s="860"/>
      <c r="H47" s="860"/>
      <c r="I47" s="860"/>
      <c r="J47" s="860"/>
      <c r="K47" s="860"/>
      <c r="L47" s="860"/>
      <c r="M47" s="860"/>
      <c r="N47" s="860"/>
      <c r="O47" s="861"/>
    </row>
    <row r="48" spans="2:15" ht="13.5" thickBot="1" x14ac:dyDescent="0.25">
      <c r="B48" s="862"/>
      <c r="C48" s="863"/>
      <c r="D48" s="863"/>
      <c r="E48" s="1422" t="s">
        <v>735</v>
      </c>
      <c r="F48" s="1422"/>
      <c r="G48" s="1422"/>
      <c r="H48" s="1422"/>
      <c r="I48" s="1422"/>
      <c r="J48" s="1422"/>
      <c r="K48" s="1422"/>
      <c r="L48" s="1422"/>
      <c r="M48" s="1422"/>
      <c r="N48" s="1422"/>
      <c r="O48" s="1423"/>
    </row>
    <row r="49" ht="13.5" thickTop="1" x14ac:dyDescent="0.2"/>
  </sheetData>
  <mergeCells count="29">
    <mergeCell ref="B42:C42"/>
    <mergeCell ref="D42:E42"/>
    <mergeCell ref="E48:O48"/>
    <mergeCell ref="E34:L34"/>
    <mergeCell ref="M35:N35"/>
    <mergeCell ref="E36:N36"/>
    <mergeCell ref="E37:N37"/>
    <mergeCell ref="B41:C41"/>
    <mergeCell ref="D41:K41"/>
    <mergeCell ref="L41:M41"/>
    <mergeCell ref="E33:F33"/>
    <mergeCell ref="I33:L33"/>
    <mergeCell ref="I20:K20"/>
    <mergeCell ref="E21:F21"/>
    <mergeCell ref="I21:L21"/>
    <mergeCell ref="E22:L22"/>
    <mergeCell ref="E25:N25"/>
    <mergeCell ref="E29:N29"/>
    <mergeCell ref="E30:F30"/>
    <mergeCell ref="K30:L30"/>
    <mergeCell ref="I32:K32"/>
    <mergeCell ref="M23:N23"/>
    <mergeCell ref="E24:N24"/>
    <mergeCell ref="M3:O6"/>
    <mergeCell ref="F12:N12"/>
    <mergeCell ref="E14:N14"/>
    <mergeCell ref="E17:N17"/>
    <mergeCell ref="E18:F18"/>
    <mergeCell ref="K18:L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indexed="9"/>
  </sheetPr>
  <dimension ref="A1:BC167"/>
  <sheetViews>
    <sheetView tabSelected="1" topLeftCell="A9" workbookViewId="0">
      <selection activeCell="D107" sqref="D107:G107"/>
    </sheetView>
  </sheetViews>
  <sheetFormatPr baseColWidth="10" defaultRowHeight="12.75" x14ac:dyDescent="0.2"/>
  <cols>
    <col min="1" max="1" width="3.28515625" customWidth="1"/>
    <col min="2" max="5" width="3.7109375" customWidth="1"/>
    <col min="6" max="6" width="3.85546875" customWidth="1"/>
    <col min="7" max="8" width="3.7109375" customWidth="1"/>
    <col min="9" max="9" width="4.42578125" customWidth="1"/>
    <col min="10" max="22" width="3.7109375" customWidth="1"/>
    <col min="23" max="23" width="3.5703125" customWidth="1"/>
    <col min="24" max="24" width="47.85546875" customWidth="1"/>
    <col min="25" max="25" width="15.7109375" customWidth="1"/>
    <col min="26" max="26" width="3.42578125" customWidth="1"/>
    <col min="27" max="27" width="5.7109375" hidden="1" customWidth="1"/>
    <col min="28" max="28" width="15.42578125" hidden="1" customWidth="1"/>
    <col min="29" max="29" width="17" hidden="1" customWidth="1"/>
    <col min="30" max="30" width="10.5703125" hidden="1" customWidth="1"/>
    <col min="31" max="31" width="12" hidden="1" customWidth="1"/>
    <col min="32" max="32" width="10.5703125" hidden="1" customWidth="1"/>
    <col min="33" max="33" width="8.5703125" hidden="1" customWidth="1"/>
    <col min="34" max="34" width="8.42578125" hidden="1" customWidth="1"/>
    <col min="35" max="35" width="7.7109375" hidden="1" customWidth="1"/>
    <col min="36" max="36" width="8.5703125" hidden="1" customWidth="1"/>
    <col min="37" max="37" width="11.42578125" hidden="1" customWidth="1"/>
    <col min="39" max="39" width="11.140625" customWidth="1"/>
    <col min="52" max="52" width="11.140625" customWidth="1"/>
  </cols>
  <sheetData>
    <row r="1" spans="1:37" x14ac:dyDescent="0.2">
      <c r="A1" s="800" t="s">
        <v>454</v>
      </c>
      <c r="B1" s="792"/>
      <c r="C1" s="792"/>
      <c r="D1" s="792"/>
      <c r="E1" s="792"/>
      <c r="F1" s="792"/>
      <c r="G1" s="792"/>
      <c r="H1" s="792"/>
      <c r="I1" s="792"/>
      <c r="J1" s="792"/>
      <c r="K1" s="792"/>
      <c r="L1" s="792"/>
      <c r="M1" s="792"/>
      <c r="N1" s="792"/>
      <c r="O1" s="792"/>
      <c r="P1" s="792"/>
      <c r="Q1" s="792"/>
      <c r="R1" s="792"/>
      <c r="S1" s="792"/>
      <c r="T1" s="792"/>
      <c r="U1" s="792"/>
      <c r="V1" s="792"/>
      <c r="W1" s="792"/>
      <c r="X1" s="792"/>
      <c r="Y1" s="792"/>
      <c r="Z1" s="793"/>
    </row>
    <row r="2" spans="1:37" x14ac:dyDescent="0.2">
      <c r="A2" s="801" t="s">
        <v>455</v>
      </c>
      <c r="B2" s="794"/>
      <c r="C2" s="794"/>
      <c r="D2" s="794"/>
      <c r="E2" s="794"/>
      <c r="F2" s="794"/>
      <c r="G2" s="794"/>
      <c r="H2" s="794"/>
      <c r="I2" s="794"/>
      <c r="J2" s="794"/>
      <c r="K2" s="795"/>
      <c r="L2" s="777"/>
      <c r="M2" s="794"/>
      <c r="N2" s="794"/>
      <c r="O2" s="794"/>
      <c r="P2" s="794"/>
      <c r="Q2" s="794"/>
      <c r="R2" s="794"/>
      <c r="S2" s="794"/>
      <c r="T2" s="794"/>
      <c r="U2" s="794"/>
      <c r="V2" s="794"/>
      <c r="W2" s="794"/>
      <c r="X2" s="794"/>
      <c r="Y2" s="794"/>
      <c r="Z2" s="796"/>
    </row>
    <row r="3" spans="1:37" ht="13.5" thickBot="1" x14ac:dyDescent="0.25">
      <c r="A3" s="802" t="s">
        <v>456</v>
      </c>
      <c r="B3" s="797"/>
      <c r="C3" s="797"/>
      <c r="D3" s="797"/>
      <c r="E3" s="797"/>
      <c r="F3" s="797"/>
      <c r="G3" s="797"/>
      <c r="H3" s="797"/>
      <c r="I3" s="797"/>
      <c r="J3" s="797"/>
      <c r="K3" s="798"/>
      <c r="L3" s="778"/>
      <c r="M3" s="797"/>
      <c r="N3" s="797"/>
      <c r="O3" s="797"/>
      <c r="P3" s="797"/>
      <c r="Q3" s="797"/>
      <c r="R3" s="797"/>
      <c r="S3" s="797"/>
      <c r="T3" s="797"/>
      <c r="U3" s="797"/>
      <c r="V3" s="797"/>
      <c r="W3" s="797"/>
      <c r="X3" s="797"/>
      <c r="Y3" s="797"/>
      <c r="Z3" s="799"/>
    </row>
    <row r="4" spans="1:37" ht="13.5" thickBot="1" x14ac:dyDescent="0.25">
      <c r="A4" s="3"/>
      <c r="B4" s="2" t="s">
        <v>384</v>
      </c>
      <c r="C4" s="3"/>
      <c r="D4" s="3"/>
      <c r="E4" s="3"/>
      <c r="F4" s="3"/>
      <c r="G4" s="3"/>
      <c r="H4" s="3"/>
      <c r="I4" s="3"/>
      <c r="J4" s="3"/>
      <c r="K4" s="3"/>
      <c r="L4" s="3"/>
      <c r="M4" s="3"/>
      <c r="N4" s="3"/>
      <c r="O4" s="3"/>
      <c r="P4" s="3"/>
      <c r="Q4" s="3"/>
      <c r="R4" s="3"/>
      <c r="S4" s="3"/>
      <c r="T4" s="3"/>
      <c r="U4" s="3"/>
      <c r="V4" s="3"/>
      <c r="W4" s="742" t="s">
        <v>407</v>
      </c>
      <c r="X4" s="3"/>
      <c r="Y4" s="3"/>
      <c r="Z4" s="3"/>
    </row>
    <row r="5" spans="1:37" x14ac:dyDescent="0.2">
      <c r="A5" s="3"/>
      <c r="B5" s="2" t="s">
        <v>385</v>
      </c>
      <c r="C5" s="3"/>
      <c r="D5" s="3"/>
      <c r="E5" s="3"/>
      <c r="F5" s="3"/>
      <c r="G5" s="3"/>
      <c r="H5" s="3"/>
      <c r="I5" s="3"/>
      <c r="J5" s="3"/>
      <c r="K5" s="3"/>
      <c r="L5" s="3"/>
      <c r="M5" s="3"/>
      <c r="N5" s="3"/>
      <c r="O5" s="3"/>
      <c r="P5" s="3"/>
      <c r="Q5" s="3"/>
      <c r="R5" s="3"/>
      <c r="S5" s="3"/>
      <c r="T5" s="803"/>
      <c r="U5" s="3"/>
      <c r="V5" s="3"/>
      <c r="W5" s="755"/>
      <c r="X5" s="758" t="s">
        <v>709</v>
      </c>
      <c r="Y5" s="759"/>
      <c r="Z5" s="3"/>
    </row>
    <row r="6" spans="1:37" x14ac:dyDescent="0.2">
      <c r="A6" s="1"/>
      <c r="B6" s="4" t="s">
        <v>386</v>
      </c>
      <c r="C6" s="3"/>
      <c r="D6" s="3"/>
      <c r="E6" s="3"/>
      <c r="F6" s="3"/>
      <c r="G6" s="3"/>
      <c r="H6" s="3"/>
      <c r="I6" s="3"/>
      <c r="J6" s="2"/>
      <c r="K6" s="1"/>
      <c r="L6" s="3"/>
      <c r="M6" s="3"/>
      <c r="N6" s="3"/>
      <c r="O6" s="3"/>
      <c r="P6" s="3"/>
      <c r="Q6" s="3"/>
      <c r="R6" s="3"/>
      <c r="S6" s="3"/>
      <c r="T6" s="3"/>
      <c r="U6" s="3"/>
      <c r="V6" s="3"/>
      <c r="W6" s="756"/>
      <c r="X6" s="760" t="s">
        <v>400</v>
      </c>
      <c r="Y6" s="761"/>
      <c r="Z6" s="3"/>
      <c r="AA6" s="1"/>
      <c r="AB6" s="1"/>
      <c r="AC6" s="1"/>
      <c r="AD6" s="1"/>
      <c r="AE6" s="1"/>
      <c r="AF6" s="1"/>
      <c r="AG6" s="1"/>
      <c r="AH6" s="1"/>
      <c r="AI6" s="1"/>
      <c r="AJ6" s="1"/>
    </row>
    <row r="7" spans="1:37" ht="13.5" thickBot="1" x14ac:dyDescent="0.25">
      <c r="A7" s="1"/>
      <c r="B7" s="4" t="s">
        <v>387</v>
      </c>
      <c r="C7" s="3"/>
      <c r="D7" s="3"/>
      <c r="E7" s="3"/>
      <c r="F7" s="3"/>
      <c r="G7" s="3"/>
      <c r="H7" s="3"/>
      <c r="I7" s="3"/>
      <c r="J7" s="2"/>
      <c r="K7" s="1"/>
      <c r="L7" s="3"/>
      <c r="M7" s="3"/>
      <c r="N7" s="3"/>
      <c r="O7" s="3"/>
      <c r="P7" s="3"/>
      <c r="Q7" s="3"/>
      <c r="R7" s="3"/>
      <c r="S7" s="3"/>
      <c r="T7" s="3"/>
      <c r="U7" s="3"/>
      <c r="V7" s="3"/>
      <c r="W7" s="756"/>
      <c r="X7" s="760" t="s">
        <v>401</v>
      </c>
      <c r="Y7" s="761"/>
      <c r="Z7" s="3"/>
      <c r="AA7" s="1"/>
      <c r="AB7" s="1"/>
      <c r="AC7" s="1"/>
      <c r="AD7" s="1"/>
      <c r="AE7" s="1"/>
      <c r="AF7" s="1"/>
      <c r="AG7" s="1"/>
      <c r="AH7" s="1"/>
      <c r="AI7" s="1"/>
      <c r="AJ7" s="1"/>
    </row>
    <row r="8" spans="1:37" x14ac:dyDescent="0.2">
      <c r="A8" s="1"/>
      <c r="B8" s="779" t="s">
        <v>106</v>
      </c>
      <c r="C8" s="780"/>
      <c r="D8" s="780"/>
      <c r="E8" s="780"/>
      <c r="F8" s="780"/>
      <c r="G8" s="780"/>
      <c r="H8" s="780"/>
      <c r="I8" s="780"/>
      <c r="J8" s="781"/>
      <c r="K8" s="782"/>
      <c r="L8" s="780"/>
      <c r="M8" s="780"/>
      <c r="N8" s="780"/>
      <c r="O8" s="783" t="s">
        <v>388</v>
      </c>
      <c r="P8" s="780"/>
      <c r="Q8" s="780"/>
      <c r="R8" s="780"/>
      <c r="S8" s="780"/>
      <c r="T8" s="780"/>
      <c r="U8" s="784"/>
      <c r="V8" s="3"/>
      <c r="W8" s="756"/>
      <c r="X8" s="760" t="s">
        <v>336</v>
      </c>
      <c r="Y8" s="761"/>
      <c r="Z8" s="3"/>
      <c r="AA8" s="1"/>
      <c r="AB8" s="1"/>
      <c r="AC8" s="1"/>
      <c r="AD8" s="1"/>
      <c r="AE8" s="1"/>
      <c r="AF8" s="1"/>
      <c r="AG8" s="1"/>
      <c r="AH8" s="1"/>
      <c r="AI8" s="1"/>
      <c r="AJ8" s="1"/>
    </row>
    <row r="9" spans="1:37" ht="13.5" thickBot="1" x14ac:dyDescent="0.25">
      <c r="A9" s="1"/>
      <c r="B9" s="785"/>
      <c r="C9" s="786"/>
      <c r="D9" s="787" t="s">
        <v>577</v>
      </c>
      <c r="E9" s="786"/>
      <c r="F9" s="786"/>
      <c r="G9" s="786"/>
      <c r="H9" s="786"/>
      <c r="I9" s="786"/>
      <c r="J9" s="788"/>
      <c r="K9" s="789"/>
      <c r="L9" s="786"/>
      <c r="M9" s="786"/>
      <c r="N9" s="786"/>
      <c r="O9" s="790" t="s">
        <v>107</v>
      </c>
      <c r="P9" s="786"/>
      <c r="Q9" s="786"/>
      <c r="R9" s="786"/>
      <c r="S9" s="786"/>
      <c r="T9" s="786"/>
      <c r="U9" s="791"/>
      <c r="V9" s="3"/>
      <c r="W9" s="756"/>
      <c r="X9" s="760" t="s">
        <v>402</v>
      </c>
      <c r="Y9" s="761"/>
      <c r="Z9" s="3"/>
      <c r="AA9" s="1"/>
      <c r="AB9" s="1"/>
      <c r="AC9" s="1"/>
      <c r="AD9" s="1"/>
      <c r="AE9" s="1"/>
      <c r="AF9" s="1"/>
      <c r="AG9" s="1"/>
      <c r="AH9" s="1"/>
      <c r="AI9" s="1"/>
      <c r="AJ9" s="1"/>
    </row>
    <row r="10" spans="1:37" x14ac:dyDescent="0.2">
      <c r="A10" s="1"/>
      <c r="B10" s="3"/>
      <c r="C10" s="3"/>
      <c r="D10" s="3"/>
      <c r="E10" s="3"/>
      <c r="F10" s="3"/>
      <c r="G10" s="3"/>
      <c r="H10" s="3"/>
      <c r="I10" s="3"/>
      <c r="J10" s="2"/>
      <c r="K10" s="1"/>
      <c r="L10" s="3"/>
      <c r="M10" s="3"/>
      <c r="N10" s="3"/>
      <c r="O10" s="3"/>
      <c r="P10" s="3"/>
      <c r="Q10" s="3"/>
      <c r="R10" s="3"/>
      <c r="S10" s="3"/>
      <c r="T10" s="3"/>
      <c r="U10" s="3"/>
      <c r="V10" s="3"/>
      <c r="W10" s="756"/>
      <c r="X10" s="760" t="s">
        <v>403</v>
      </c>
      <c r="Y10" s="761"/>
      <c r="Z10" s="3"/>
      <c r="AA10" s="1"/>
      <c r="AB10" s="1"/>
      <c r="AC10" s="1"/>
      <c r="AD10" s="1"/>
      <c r="AE10" s="1"/>
      <c r="AF10" s="1"/>
      <c r="AG10" s="1"/>
      <c r="AH10" s="1"/>
      <c r="AI10" s="1"/>
      <c r="AJ10" s="1"/>
    </row>
    <row r="11" spans="1:37" ht="13.5" thickBot="1" x14ac:dyDescent="0.25">
      <c r="A11" s="1"/>
      <c r="B11" s="764" t="s">
        <v>406</v>
      </c>
      <c r="C11" s="3"/>
      <c r="D11" s="3"/>
      <c r="E11" s="3"/>
      <c r="F11" s="3"/>
      <c r="G11" s="3"/>
      <c r="H11" s="3"/>
      <c r="I11" s="3"/>
      <c r="J11" s="1"/>
      <c r="K11" s="1"/>
      <c r="L11" s="3"/>
      <c r="M11" s="3"/>
      <c r="N11" s="3"/>
      <c r="O11" s="3"/>
      <c r="P11" s="3"/>
      <c r="Q11" s="3"/>
      <c r="R11" s="3"/>
      <c r="S11" s="3"/>
      <c r="T11" s="3"/>
      <c r="U11" s="3"/>
      <c r="V11" s="3"/>
      <c r="W11" s="756"/>
      <c r="X11" s="760" t="s">
        <v>404</v>
      </c>
      <c r="Y11" s="761"/>
      <c r="Z11" s="730"/>
      <c r="AA11" s="1"/>
      <c r="AB11" s="1"/>
      <c r="AC11" s="1"/>
      <c r="AD11" s="1"/>
      <c r="AE11" s="1"/>
      <c r="AF11" s="1"/>
      <c r="AG11" s="1"/>
      <c r="AH11" s="1"/>
      <c r="AI11" s="1"/>
      <c r="AJ11" s="1"/>
    </row>
    <row r="12" spans="1:37" ht="13.5" thickBot="1" x14ac:dyDescent="0.25">
      <c r="A12" s="1"/>
      <c r="B12" s="922" t="s">
        <v>8</v>
      </c>
      <c r="C12" s="923"/>
      <c r="D12" s="923"/>
      <c r="E12" s="924"/>
      <c r="F12" s="910" t="s">
        <v>699</v>
      </c>
      <c r="G12" s="911"/>
      <c r="H12" s="911"/>
      <c r="I12" s="911"/>
      <c r="J12" s="911"/>
      <c r="K12" s="911"/>
      <c r="L12" s="911"/>
      <c r="M12" s="911"/>
      <c r="N12" s="911"/>
      <c r="O12" s="911"/>
      <c r="P12" s="911"/>
      <c r="Q12" s="911"/>
      <c r="R12" s="911"/>
      <c r="S12" s="911"/>
      <c r="T12" s="911"/>
      <c r="U12" s="912"/>
      <c r="V12" s="752">
        <f>SUM(W5:W12)</f>
        <v>0</v>
      </c>
      <c r="W12" s="757"/>
      <c r="X12" s="762" t="s">
        <v>405</v>
      </c>
      <c r="Y12" s="763"/>
      <c r="Z12" s="742"/>
      <c r="AA12" s="1"/>
      <c r="AB12" s="1"/>
      <c r="AC12" s="1"/>
      <c r="AD12" s="1"/>
      <c r="AE12" s="1"/>
      <c r="AF12" s="1"/>
      <c r="AG12" s="1"/>
      <c r="AH12" s="1"/>
      <c r="AI12" s="1"/>
      <c r="AJ12" s="1"/>
    </row>
    <row r="13" spans="1:37" ht="13.5" thickBot="1" x14ac:dyDescent="0.25">
      <c r="A13" s="226"/>
      <c r="B13" s="925">
        <v>45383</v>
      </c>
      <c r="C13" s="926"/>
      <c r="D13" s="926"/>
      <c r="E13" s="927"/>
      <c r="F13" s="740" t="s">
        <v>338</v>
      </c>
      <c r="G13" s="741"/>
      <c r="H13" s="229"/>
      <c r="I13" s="230"/>
      <c r="J13" s="228"/>
      <c r="K13" s="228"/>
      <c r="L13" s="228"/>
      <c r="M13" s="228"/>
      <c r="N13" s="228"/>
      <c r="O13" s="231"/>
      <c r="P13" s="228"/>
      <c r="Q13" s="228"/>
      <c r="R13" s="228"/>
      <c r="S13" s="876">
        <v>125000</v>
      </c>
      <c r="T13" s="877"/>
      <c r="U13" s="878"/>
      <c r="V13" s="742"/>
      <c r="W13" s="743"/>
      <c r="X13" s="753" t="str">
        <f>IF(Y13=Y20,"VIVIENDA UNIFAMILIAR CATEGORIA A",IF(Y13=Y21,"VIVIENDA UNIFAMILIAR CATEGORIA B",IF(Y13=Y22,"VIVIENDA UNIFAMILIAR CATEGORIA C",IF(Y13=Y23,"VIVIENDA UNIFAMILIAR CATEGORIA D","VIVIENDA UNIFAMILIAR CATEGORIA E"))))</f>
        <v>VIVIENDA UNIFAMILIAR CATEGORIA A</v>
      </c>
      <c r="Y13" s="754">
        <f>IF(V12=0,Y20,IF(V12=2,Y22,IF(V12=3,Y23,IF(V12=4,Y24,IF(V12&gt;=5,Y24,IF(W11=1,Y22,Y21))))))</f>
        <v>350000</v>
      </c>
      <c r="Z13" s="742"/>
      <c r="AA13" s="232"/>
      <c r="AB13" s="232"/>
      <c r="AC13" s="232"/>
      <c r="AD13" s="232"/>
      <c r="AE13" s="232"/>
      <c r="AF13" s="232"/>
      <c r="AG13" s="232"/>
      <c r="AH13" s="232"/>
      <c r="AI13" s="232"/>
      <c r="AJ13" s="232"/>
      <c r="AK13" s="233"/>
    </row>
    <row r="14" spans="1:37" ht="13.5" thickBot="1" x14ac:dyDescent="0.25">
      <c r="A14" s="226"/>
      <c r="B14" s="227" t="s">
        <v>183</v>
      </c>
      <c r="C14" s="928">
        <v>25</v>
      </c>
      <c r="D14" s="929"/>
      <c r="E14" s="930"/>
      <c r="F14" s="738" t="s">
        <v>477</v>
      </c>
      <c r="G14" s="741"/>
      <c r="H14" s="229"/>
      <c r="I14" s="230"/>
      <c r="J14" s="228"/>
      <c r="K14" s="228"/>
      <c r="L14" s="228"/>
      <c r="M14" s="228"/>
      <c r="N14" s="231"/>
      <c r="O14" s="228"/>
      <c r="P14" s="228"/>
      <c r="Q14" s="228"/>
      <c r="R14" s="228"/>
      <c r="S14" s="879">
        <v>250000</v>
      </c>
      <c r="T14" s="880"/>
      <c r="U14" s="881"/>
      <c r="V14" s="746"/>
      <c r="W14" s="750"/>
      <c r="X14" s="733" t="s">
        <v>399</v>
      </c>
      <c r="Y14" s="359"/>
      <c r="Z14" s="751"/>
      <c r="AA14" s="232"/>
      <c r="AB14" s="232"/>
      <c r="AC14" s="232"/>
      <c r="AD14" s="232"/>
      <c r="AE14" s="232"/>
      <c r="AF14" s="232"/>
      <c r="AG14" s="232"/>
      <c r="AH14" s="232"/>
      <c r="AI14" s="232"/>
      <c r="AJ14" s="232"/>
      <c r="AK14" s="233"/>
    </row>
    <row r="15" spans="1:37" ht="13.5" thickBot="1" x14ac:dyDescent="0.25">
      <c r="A15" s="226"/>
      <c r="B15" s="721" t="s">
        <v>463</v>
      </c>
      <c r="C15" s="931">
        <v>500000</v>
      </c>
      <c r="D15" s="932"/>
      <c r="E15" s="933"/>
      <c r="F15" s="739" t="s">
        <v>478</v>
      </c>
      <c r="G15" s="741"/>
      <c r="H15" s="228"/>
      <c r="I15" s="229"/>
      <c r="J15" s="230"/>
      <c r="K15" s="228"/>
      <c r="L15" s="228"/>
      <c r="M15" s="228"/>
      <c r="N15" s="228"/>
      <c r="O15" s="231"/>
      <c r="P15" s="228"/>
      <c r="Q15" s="228"/>
      <c r="R15" s="228"/>
      <c r="S15" s="882">
        <v>400000</v>
      </c>
      <c r="T15" s="883"/>
      <c r="U15" s="884"/>
      <c r="V15" s="746"/>
      <c r="W15" s="488"/>
      <c r="X15" s="744" t="s">
        <v>11</v>
      </c>
      <c r="Y15" s="745"/>
      <c r="Z15" s="748"/>
      <c r="AA15" s="232"/>
      <c r="AB15" s="232"/>
      <c r="AC15" s="232"/>
      <c r="AD15" s="232"/>
      <c r="AE15" s="232"/>
      <c r="AF15" s="232"/>
      <c r="AG15" s="232"/>
      <c r="AH15" s="232"/>
      <c r="AI15" s="232"/>
      <c r="AJ15" s="232"/>
      <c r="AK15" s="233"/>
    </row>
    <row r="16" spans="1:37" ht="13.5" thickBot="1" x14ac:dyDescent="0.25">
      <c r="A16" s="226"/>
      <c r="B16" s="227"/>
      <c r="C16" s="228"/>
      <c r="D16" s="228"/>
      <c r="E16" s="228"/>
      <c r="F16" s="889"/>
      <c r="G16" s="889"/>
      <c r="H16" s="889"/>
      <c r="I16" s="889"/>
      <c r="J16" s="889"/>
      <c r="K16" s="889"/>
      <c r="L16" s="889"/>
      <c r="M16" s="889"/>
      <c r="N16" s="889"/>
      <c r="O16" s="889"/>
      <c r="P16" s="889"/>
      <c r="Q16" s="889"/>
      <c r="R16" s="889"/>
      <c r="S16" s="263"/>
      <c r="T16" s="263"/>
      <c r="U16" s="226"/>
      <c r="V16" s="731"/>
      <c r="W16" s="747"/>
      <c r="X16" s="247" t="s">
        <v>12</v>
      </c>
      <c r="Y16" s="248"/>
      <c r="Z16" s="749"/>
      <c r="AA16" s="232"/>
      <c r="AB16" s="232"/>
      <c r="AC16" s="232"/>
      <c r="AD16" s="232"/>
      <c r="AE16" s="232"/>
      <c r="AF16" s="232"/>
      <c r="AG16" s="232"/>
      <c r="AH16" s="232"/>
      <c r="AI16" s="232"/>
      <c r="AJ16" s="232"/>
      <c r="AK16" s="233"/>
    </row>
    <row r="17" spans="1:37" ht="13.5" thickBot="1" x14ac:dyDescent="0.25">
      <c r="A17" s="234">
        <v>1</v>
      </c>
      <c r="B17" s="235" t="s">
        <v>9</v>
      </c>
      <c r="C17" s="236"/>
      <c r="D17" s="236"/>
      <c r="E17" s="236"/>
      <c r="F17" s="236"/>
      <c r="G17" s="236"/>
      <c r="H17" s="236"/>
      <c r="I17" s="236"/>
      <c r="J17" s="235"/>
      <c r="K17" s="237"/>
      <c r="L17" s="236"/>
      <c r="M17" s="236"/>
      <c r="N17" s="236"/>
      <c r="O17" s="236"/>
      <c r="P17" s="236"/>
      <c r="Q17" s="236"/>
      <c r="R17" s="236"/>
      <c r="S17" s="236"/>
      <c r="T17" s="236"/>
      <c r="U17" s="732"/>
      <c r="V17" s="359"/>
      <c r="W17" s="360"/>
      <c r="X17" s="253" t="s">
        <v>14</v>
      </c>
      <c r="Y17" s="254">
        <f>ROUNDUP(0.075*C15,0)</f>
        <v>37500</v>
      </c>
      <c r="Z17" s="734"/>
      <c r="AA17" s="232"/>
      <c r="AB17" s="232"/>
      <c r="AC17" s="232"/>
      <c r="AD17" s="232"/>
      <c r="AE17" s="232"/>
      <c r="AF17" s="232"/>
      <c r="AG17" s="232"/>
      <c r="AH17" s="232"/>
      <c r="AI17" s="232"/>
      <c r="AJ17" s="232"/>
      <c r="AK17" s="233"/>
    </row>
    <row r="18" spans="1:37" x14ac:dyDescent="0.2">
      <c r="A18" s="238"/>
      <c r="B18" s="240"/>
      <c r="C18" s="241"/>
      <c r="D18" s="241"/>
      <c r="E18" s="241"/>
      <c r="F18" s="241"/>
      <c r="G18" s="241"/>
      <c r="H18" s="241"/>
      <c r="I18" s="242" t="s">
        <v>10</v>
      </c>
      <c r="J18" s="243"/>
      <c r="K18" s="952"/>
      <c r="L18" s="952"/>
      <c r="M18" s="952"/>
      <c r="N18" s="952"/>
      <c r="O18" s="952"/>
      <c r="P18" s="952"/>
      <c r="Q18" s="952"/>
      <c r="R18" s="952"/>
      <c r="S18" s="952"/>
      <c r="T18" s="952"/>
      <c r="U18" s="953"/>
      <c r="V18" s="954"/>
      <c r="W18" s="238"/>
      <c r="X18" s="253" t="s">
        <v>601</v>
      </c>
      <c r="Y18" s="255"/>
      <c r="Z18" s="239"/>
      <c r="AA18" s="232"/>
      <c r="AB18" s="232"/>
      <c r="AC18" s="232"/>
      <c r="AD18" s="232"/>
      <c r="AE18" s="232"/>
      <c r="AF18" s="232"/>
      <c r="AG18" s="232"/>
      <c r="AH18" s="232"/>
      <c r="AI18" s="232"/>
      <c r="AJ18" s="232"/>
      <c r="AK18" s="233"/>
    </row>
    <row r="19" spans="1:37" ht="15" x14ac:dyDescent="0.2">
      <c r="A19" s="238"/>
      <c r="B19" s="244"/>
      <c r="C19" s="226"/>
      <c r="D19" s="226"/>
      <c r="E19" s="226"/>
      <c r="F19" s="226"/>
      <c r="G19" s="226"/>
      <c r="H19" s="226"/>
      <c r="I19" s="245" t="s">
        <v>3</v>
      </c>
      <c r="J19" s="246"/>
      <c r="K19" s="957"/>
      <c r="L19" s="957"/>
      <c r="M19" s="957"/>
      <c r="N19" s="957"/>
      <c r="O19" s="957"/>
      <c r="P19" s="957"/>
      <c r="Q19" s="957"/>
      <c r="R19" s="957"/>
      <c r="S19" s="957"/>
      <c r="T19" s="957"/>
      <c r="U19" s="957"/>
      <c r="V19" s="958"/>
      <c r="W19" s="238"/>
      <c r="X19" s="247" t="s">
        <v>389</v>
      </c>
      <c r="Y19" s="246"/>
      <c r="Z19" s="249"/>
      <c r="AA19" s="232"/>
      <c r="AB19" s="250"/>
      <c r="AC19" s="232"/>
      <c r="AD19" s="232"/>
      <c r="AE19" s="232"/>
      <c r="AF19" s="232"/>
      <c r="AG19" s="232"/>
      <c r="AH19" s="232"/>
      <c r="AI19" s="232"/>
      <c r="AJ19" s="232"/>
      <c r="AK19" s="233"/>
    </row>
    <row r="20" spans="1:37" x14ac:dyDescent="0.2">
      <c r="A20" s="238"/>
      <c r="B20" s="244"/>
      <c r="C20" s="226"/>
      <c r="D20" s="226"/>
      <c r="E20" s="226"/>
      <c r="F20" s="226"/>
      <c r="G20" s="226"/>
      <c r="H20" s="226"/>
      <c r="I20" s="251" t="s">
        <v>2</v>
      </c>
      <c r="J20" s="252"/>
      <c r="K20" s="955"/>
      <c r="L20" s="955"/>
      <c r="M20" s="955"/>
      <c r="N20" s="955"/>
      <c r="O20" s="955"/>
      <c r="P20" s="955"/>
      <c r="Q20" s="955"/>
      <c r="R20" s="955"/>
      <c r="S20" s="955"/>
      <c r="T20" s="955"/>
      <c r="U20" s="955"/>
      <c r="V20" s="956"/>
      <c r="W20" s="238"/>
      <c r="X20" s="691" t="s">
        <v>390</v>
      </c>
      <c r="Y20" s="690">
        <f>ROUNDUP(0.7*C15,0)</f>
        <v>350000</v>
      </c>
      <c r="Z20" s="239"/>
      <c r="AA20" s="232"/>
      <c r="AB20" s="232"/>
      <c r="AC20" s="232"/>
      <c r="AD20" s="232"/>
      <c r="AE20" s="232"/>
      <c r="AF20" s="232"/>
      <c r="AG20" s="232"/>
      <c r="AH20" s="232"/>
      <c r="AI20" s="232"/>
      <c r="AJ20" s="232"/>
      <c r="AK20" s="233"/>
    </row>
    <row r="21" spans="1:37" ht="15" x14ac:dyDescent="0.2">
      <c r="A21" s="238"/>
      <c r="B21" s="244"/>
      <c r="C21" s="226"/>
      <c r="D21" s="226"/>
      <c r="E21" s="226"/>
      <c r="F21" s="226"/>
      <c r="G21" s="226"/>
      <c r="H21" s="226"/>
      <c r="I21" s="251" t="s">
        <v>181</v>
      </c>
      <c r="J21" s="252"/>
      <c r="K21" s="945"/>
      <c r="L21" s="945"/>
      <c r="M21" s="945"/>
      <c r="N21" s="945"/>
      <c r="O21" s="945"/>
      <c r="P21" s="945"/>
      <c r="Q21" s="945"/>
      <c r="R21" s="945"/>
      <c r="S21" s="945"/>
      <c r="T21" s="945"/>
      <c r="U21" s="945"/>
      <c r="V21" s="946"/>
      <c r="W21" s="238"/>
      <c r="X21" s="253" t="s">
        <v>391</v>
      </c>
      <c r="Y21" s="254">
        <f>ROUNDUP(0.8*C15,0)</f>
        <v>400000</v>
      </c>
      <c r="Z21" s="239"/>
      <c r="AA21" s="232"/>
      <c r="AB21" s="250"/>
      <c r="AC21" s="232"/>
      <c r="AD21" s="256"/>
      <c r="AE21" s="232"/>
      <c r="AF21" s="232"/>
      <c r="AG21" s="232"/>
      <c r="AH21" s="232"/>
      <c r="AI21" s="232"/>
      <c r="AJ21" s="232"/>
      <c r="AK21" s="233"/>
    </row>
    <row r="22" spans="1:37" x14ac:dyDescent="0.2">
      <c r="A22" s="238"/>
      <c r="B22" s="244"/>
      <c r="C22" s="226"/>
      <c r="D22" s="226"/>
      <c r="E22" s="226"/>
      <c r="F22" s="226"/>
      <c r="G22" s="226"/>
      <c r="H22" s="226"/>
      <c r="I22" s="245" t="s">
        <v>16</v>
      </c>
      <c r="J22" s="257"/>
      <c r="K22" s="945"/>
      <c r="L22" s="945"/>
      <c r="M22" s="945"/>
      <c r="N22" s="945"/>
      <c r="O22" s="945"/>
      <c r="P22" s="945"/>
      <c r="Q22" s="945"/>
      <c r="R22" s="945"/>
      <c r="S22" s="945"/>
      <c r="T22" s="945"/>
      <c r="U22" s="945"/>
      <c r="V22" s="946"/>
      <c r="W22" s="238"/>
      <c r="X22" s="253" t="s">
        <v>392</v>
      </c>
      <c r="Y22" s="254">
        <f>ROUNDUP(1*C15,0)</f>
        <v>500000</v>
      </c>
      <c r="Z22" s="239"/>
      <c r="AA22" s="232"/>
      <c r="AB22" s="232"/>
      <c r="AC22" s="232"/>
      <c r="AD22" s="232"/>
      <c r="AE22" s="232"/>
      <c r="AF22" s="232"/>
      <c r="AG22" s="232"/>
      <c r="AH22" s="232"/>
      <c r="AI22" s="232"/>
      <c r="AJ22" s="232"/>
      <c r="AK22" s="233"/>
    </row>
    <row r="23" spans="1:37" x14ac:dyDescent="0.2">
      <c r="A23" s="238"/>
      <c r="B23" s="244"/>
      <c r="C23" s="226"/>
      <c r="D23" s="226"/>
      <c r="E23" s="226"/>
      <c r="F23" s="226"/>
      <c r="G23" s="226"/>
      <c r="H23" s="226"/>
      <c r="I23" s="245" t="s">
        <v>17</v>
      </c>
      <c r="J23" s="257"/>
      <c r="K23" s="945"/>
      <c r="L23" s="945"/>
      <c r="M23" s="945"/>
      <c r="N23" s="945"/>
      <c r="O23" s="945"/>
      <c r="P23" s="945"/>
      <c r="Q23" s="945"/>
      <c r="R23" s="945"/>
      <c r="S23" s="945"/>
      <c r="T23" s="945"/>
      <c r="U23" s="945"/>
      <c r="V23" s="946"/>
      <c r="W23" s="238"/>
      <c r="X23" s="253" t="s">
        <v>393</v>
      </c>
      <c r="Y23" s="254">
        <f>ROUNDUP(1.2*C15,0)</f>
        <v>600000</v>
      </c>
      <c r="Z23" s="239"/>
      <c r="AA23" s="232"/>
      <c r="AB23" s="232"/>
      <c r="AC23" s="232"/>
      <c r="AD23" s="232"/>
      <c r="AE23" s="232"/>
      <c r="AF23" s="232"/>
      <c r="AG23" s="232"/>
      <c r="AH23" s="232"/>
      <c r="AI23" s="232"/>
      <c r="AJ23" s="232"/>
      <c r="AK23" s="233"/>
    </row>
    <row r="24" spans="1:37" x14ac:dyDescent="0.2">
      <c r="A24" s="238"/>
      <c r="B24" s="244"/>
      <c r="C24" s="226"/>
      <c r="D24" s="226"/>
      <c r="E24" s="226"/>
      <c r="F24" s="226"/>
      <c r="G24" s="226"/>
      <c r="H24" s="226"/>
      <c r="I24" s="245" t="s">
        <v>18</v>
      </c>
      <c r="J24" s="257"/>
      <c r="K24" s="945"/>
      <c r="L24" s="945"/>
      <c r="M24" s="945"/>
      <c r="N24" s="945"/>
      <c r="O24" s="945"/>
      <c r="P24" s="945"/>
      <c r="Q24" s="945"/>
      <c r="R24" s="945"/>
      <c r="S24" s="945"/>
      <c r="T24" s="945"/>
      <c r="U24" s="945"/>
      <c r="V24" s="946"/>
      <c r="W24" s="238"/>
      <c r="X24" s="253" t="s">
        <v>394</v>
      </c>
      <c r="Y24" s="254">
        <f>ROUNDUP(1.4*C15,0)</f>
        <v>700000</v>
      </c>
      <c r="Z24" s="239"/>
      <c r="AA24" s="232"/>
      <c r="AB24" s="232"/>
      <c r="AC24" s="232"/>
      <c r="AD24" s="232"/>
      <c r="AE24" s="232"/>
      <c r="AF24" s="232"/>
      <c r="AG24" s="232"/>
      <c r="AH24" s="232"/>
      <c r="AI24" s="232"/>
      <c r="AJ24" s="232"/>
      <c r="AK24" s="233"/>
    </row>
    <row r="25" spans="1:37" x14ac:dyDescent="0.2">
      <c r="A25" s="238"/>
      <c r="B25" s="244"/>
      <c r="C25" s="226"/>
      <c r="D25" s="226"/>
      <c r="E25" s="226"/>
      <c r="F25" s="226"/>
      <c r="G25" s="226"/>
      <c r="H25" s="226"/>
      <c r="I25" s="245" t="s">
        <v>182</v>
      </c>
      <c r="J25" s="257"/>
      <c r="K25" s="945"/>
      <c r="L25" s="945"/>
      <c r="M25" s="945"/>
      <c r="N25" s="945"/>
      <c r="O25" s="945"/>
      <c r="P25" s="945"/>
      <c r="Q25" s="945"/>
      <c r="R25" s="945"/>
      <c r="S25" s="945"/>
      <c r="T25" s="945"/>
      <c r="U25" s="945"/>
      <c r="V25" s="946"/>
      <c r="W25" s="238"/>
      <c r="X25" s="258"/>
      <c r="Y25" s="259"/>
      <c r="Z25" s="239"/>
      <c r="AA25" s="232"/>
      <c r="AB25" s="232"/>
      <c r="AC25" s="232"/>
      <c r="AD25" s="232"/>
      <c r="AE25" s="232"/>
      <c r="AF25" s="232"/>
      <c r="AG25" s="232"/>
      <c r="AH25" s="232"/>
      <c r="AI25" s="232"/>
      <c r="AJ25" s="232"/>
      <c r="AK25" s="233"/>
    </row>
    <row r="26" spans="1:37" x14ac:dyDescent="0.2">
      <c r="A26" s="238"/>
      <c r="B26" s="244"/>
      <c r="C26" s="226"/>
      <c r="D26" s="226"/>
      <c r="E26" s="226"/>
      <c r="F26" s="226"/>
      <c r="G26" s="226"/>
      <c r="H26" s="226"/>
      <c r="I26" s="245" t="s">
        <v>605</v>
      </c>
      <c r="J26" s="257"/>
      <c r="K26" s="945"/>
      <c r="L26" s="945"/>
      <c r="M26" s="945"/>
      <c r="N26" s="945"/>
      <c r="O26" s="945"/>
      <c r="P26" s="945"/>
      <c r="Q26" s="945"/>
      <c r="R26" s="945"/>
      <c r="S26" s="945"/>
      <c r="T26" s="945"/>
      <c r="U26" s="945"/>
      <c r="V26" s="946"/>
      <c r="W26" s="238"/>
      <c r="X26" s="260" t="s">
        <v>396</v>
      </c>
      <c r="Y26" s="261"/>
      <c r="Z26" s="239"/>
      <c r="AA26" s="232"/>
      <c r="AB26" s="232"/>
      <c r="AC26" s="232"/>
      <c r="AD26" s="232"/>
      <c r="AE26" s="232"/>
      <c r="AF26" s="232"/>
      <c r="AG26" s="232"/>
      <c r="AH26" s="232"/>
      <c r="AI26" s="232"/>
      <c r="AJ26" s="232"/>
      <c r="AK26" s="233"/>
    </row>
    <row r="27" spans="1:37" ht="13.5" thickBot="1" x14ac:dyDescent="0.25">
      <c r="A27" s="238"/>
      <c r="B27" s="262"/>
      <c r="C27" s="263"/>
      <c r="D27" s="263"/>
      <c r="E27" s="263"/>
      <c r="F27" s="263"/>
      <c r="G27" s="263"/>
      <c r="H27" s="263"/>
      <c r="I27" s="264" t="s">
        <v>604</v>
      </c>
      <c r="J27" s="265"/>
      <c r="K27" s="947"/>
      <c r="L27" s="947"/>
      <c r="M27" s="947"/>
      <c r="N27" s="947"/>
      <c r="O27" s="947"/>
      <c r="P27" s="947"/>
      <c r="Q27" s="947"/>
      <c r="R27" s="947"/>
      <c r="S27" s="947"/>
      <c r="T27" s="947"/>
      <c r="U27" s="947"/>
      <c r="V27" s="948"/>
      <c r="W27" s="238"/>
      <c r="X27" s="253" t="s">
        <v>395</v>
      </c>
      <c r="Y27" s="254">
        <f>ROUNDUP(0.9*C15,0)</f>
        <v>450000</v>
      </c>
      <c r="Z27" s="239"/>
      <c r="AA27" s="232"/>
      <c r="AB27" s="232"/>
      <c r="AC27" s="232"/>
      <c r="AD27" s="232"/>
      <c r="AE27" s="232"/>
      <c r="AF27" s="232"/>
      <c r="AG27" s="232"/>
      <c r="AH27" s="232"/>
      <c r="AI27" s="232"/>
      <c r="AJ27" s="232"/>
      <c r="AK27" s="233"/>
    </row>
    <row r="28" spans="1:37" ht="13.5" thickBot="1" x14ac:dyDescent="0.25">
      <c r="A28" s="234">
        <v>2</v>
      </c>
      <c r="B28" s="235" t="s">
        <v>19</v>
      </c>
      <c r="C28" s="236"/>
      <c r="D28" s="236"/>
      <c r="E28" s="236"/>
      <c r="F28" s="236"/>
      <c r="G28" s="236"/>
      <c r="H28" s="236"/>
      <c r="I28" s="236"/>
      <c r="J28" s="235"/>
      <c r="K28" s="238"/>
      <c r="L28" s="236"/>
      <c r="M28" s="236"/>
      <c r="N28" s="236"/>
      <c r="O28" s="236"/>
      <c r="P28" s="236"/>
      <c r="Q28" s="236"/>
      <c r="R28" s="236"/>
      <c r="S28" s="236"/>
      <c r="T28" s="236"/>
      <c r="U28" s="236"/>
      <c r="V28" s="236"/>
      <c r="W28" s="238"/>
      <c r="X28" s="253" t="s">
        <v>397</v>
      </c>
      <c r="Y28" s="254">
        <f>ROUNDUP(1*C15,0)</f>
        <v>500000</v>
      </c>
      <c r="Z28" s="239"/>
      <c r="AA28" s="232"/>
      <c r="AB28" s="256"/>
      <c r="AC28" s="256"/>
      <c r="AD28" s="232"/>
      <c r="AE28" s="232"/>
      <c r="AF28" s="232"/>
      <c r="AG28" s="232"/>
      <c r="AH28" s="232"/>
      <c r="AI28" s="232"/>
      <c r="AJ28" s="232"/>
      <c r="AK28" s="233"/>
    </row>
    <row r="29" spans="1:37" x14ac:dyDescent="0.2">
      <c r="A29" s="238"/>
      <c r="B29" s="240"/>
      <c r="C29" s="241"/>
      <c r="D29" s="241"/>
      <c r="E29" s="241"/>
      <c r="F29" s="241"/>
      <c r="G29" s="241"/>
      <c r="H29" s="241"/>
      <c r="I29" s="266" t="s">
        <v>10</v>
      </c>
      <c r="J29" s="267"/>
      <c r="K29" s="949"/>
      <c r="L29" s="950"/>
      <c r="M29" s="950"/>
      <c r="N29" s="950"/>
      <c r="O29" s="950"/>
      <c r="P29" s="950"/>
      <c r="Q29" s="950"/>
      <c r="R29" s="950"/>
      <c r="S29" s="950"/>
      <c r="T29" s="950"/>
      <c r="U29" s="950"/>
      <c r="V29" s="951"/>
      <c r="W29" s="238"/>
      <c r="X29" s="689" t="s">
        <v>398</v>
      </c>
      <c r="Y29" s="254">
        <f>ROUNDUP(1.1*C15,0)</f>
        <v>550000</v>
      </c>
      <c r="Z29" s="239"/>
      <c r="AA29" s="232"/>
      <c r="AB29" s="269">
        <f>SUM(D67:D70,D78:D84)</f>
        <v>0</v>
      </c>
      <c r="AC29" s="270" t="str">
        <f>IF((AB29&gt;=70)*AND(L67=Y35),"REVISAR CATEGORIA DE VIVIENDA &lt; 70 m2",".")</f>
        <v>.</v>
      </c>
      <c r="AD29" s="271" t="str">
        <f>CONCATENATE(AC29,AC30,AC31,AC32)</f>
        <v>....</v>
      </c>
      <c r="AE29" s="232"/>
      <c r="AF29" s="232"/>
      <c r="AG29" s="232"/>
      <c r="AH29" s="232"/>
      <c r="AI29" s="232"/>
      <c r="AJ29" s="232"/>
      <c r="AK29" s="233"/>
    </row>
    <row r="30" spans="1:37" ht="13.5" thickBot="1" x14ac:dyDescent="0.25">
      <c r="A30" s="238"/>
      <c r="B30" s="244"/>
      <c r="C30" s="226"/>
      <c r="D30" s="226"/>
      <c r="E30" s="226"/>
      <c r="F30" s="226"/>
      <c r="G30" s="226"/>
      <c r="H30" s="226"/>
      <c r="I30" s="245" t="s">
        <v>3</v>
      </c>
      <c r="J30" s="246"/>
      <c r="K30" s="976"/>
      <c r="L30" s="957"/>
      <c r="M30" s="957"/>
      <c r="N30" s="957"/>
      <c r="O30" s="957"/>
      <c r="P30" s="957"/>
      <c r="Q30" s="957"/>
      <c r="R30" s="957"/>
      <c r="S30" s="957"/>
      <c r="T30" s="957"/>
      <c r="U30" s="957"/>
      <c r="V30" s="958"/>
      <c r="W30" s="238"/>
      <c r="X30" s="247" t="s">
        <v>20</v>
      </c>
      <c r="Y30" s="272">
        <f>ROUNDUP(0.5*C15,0)</f>
        <v>250000</v>
      </c>
      <c r="Z30" s="239"/>
      <c r="AA30" s="232"/>
      <c r="AB30" s="269">
        <f t="shared" ref="AB30:AB36" si="0">AB29</f>
        <v>0</v>
      </c>
      <c r="AC30" s="270" t="str">
        <f>IF((AB30&gt;=70)*AND(L68=Y35),"REVISAR CATEGORIA DE VIVIENDA &lt; 70 m2",".")</f>
        <v>.</v>
      </c>
      <c r="AD30" s="232"/>
      <c r="AE30" s="232"/>
      <c r="AF30" s="232"/>
      <c r="AG30" s="232"/>
      <c r="AH30" s="232"/>
      <c r="AI30" s="232"/>
      <c r="AJ30" s="232"/>
      <c r="AK30" s="233"/>
    </row>
    <row r="31" spans="1:37" ht="13.5" thickBot="1" x14ac:dyDescent="0.25">
      <c r="A31" s="238"/>
      <c r="B31" s="244"/>
      <c r="C31" s="226"/>
      <c r="D31" s="226"/>
      <c r="E31" s="226"/>
      <c r="F31" s="226"/>
      <c r="G31" s="226"/>
      <c r="H31" s="226"/>
      <c r="I31" s="245" t="s">
        <v>317</v>
      </c>
      <c r="J31" s="257"/>
      <c r="K31" s="977"/>
      <c r="L31" s="978"/>
      <c r="M31" s="978"/>
      <c r="N31" s="978"/>
      <c r="O31" s="978"/>
      <c r="P31" s="978"/>
      <c r="Q31" s="978"/>
      <c r="R31" s="978"/>
      <c r="S31" s="978"/>
      <c r="T31" s="978"/>
      <c r="U31" s="978"/>
      <c r="V31" s="979"/>
      <c r="W31" s="234"/>
      <c r="X31" s="890" t="s">
        <v>599</v>
      </c>
      <c r="Y31" s="891"/>
      <c r="Z31" s="239"/>
      <c r="AA31" s="232"/>
      <c r="AB31" s="269">
        <f t="shared" si="0"/>
        <v>0</v>
      </c>
      <c r="AC31" s="270" t="str">
        <f>IF((AB31&gt;=70)*AND(L69=Y35),"REVISAR CATEGORIA DE VIVIENDA &lt; 70 m2",".")</f>
        <v>.</v>
      </c>
      <c r="AD31" s="232"/>
      <c r="AE31" s="232"/>
      <c r="AF31" s="232"/>
      <c r="AG31" s="232"/>
      <c r="AH31" s="232"/>
      <c r="AI31" s="232"/>
      <c r="AJ31" s="232"/>
      <c r="AK31" s="233"/>
    </row>
    <row r="32" spans="1:37" x14ac:dyDescent="0.2">
      <c r="A32" s="238"/>
      <c r="B32" s="244"/>
      <c r="C32" s="226"/>
      <c r="D32" s="226"/>
      <c r="E32" s="226"/>
      <c r="F32" s="226"/>
      <c r="G32" s="226"/>
      <c r="H32" s="226"/>
      <c r="I32" s="251" t="s">
        <v>13</v>
      </c>
      <c r="J32" s="257"/>
      <c r="K32" s="888"/>
      <c r="L32" s="886"/>
      <c r="M32" s="886"/>
      <c r="N32" s="886"/>
      <c r="O32" s="886"/>
      <c r="P32" s="886"/>
      <c r="Q32" s="886"/>
      <c r="R32" s="886"/>
      <c r="S32" s="886"/>
      <c r="T32" s="886"/>
      <c r="U32" s="886"/>
      <c r="V32" s="887"/>
      <c r="W32" s="238"/>
      <c r="X32" s="253" t="s">
        <v>21</v>
      </c>
      <c r="Y32" s="273">
        <f>ROUNDUP(0.5*C15,0)</f>
        <v>250000</v>
      </c>
      <c r="Z32" s="239"/>
      <c r="AA32" s="232"/>
      <c r="AB32" s="269">
        <f t="shared" si="0"/>
        <v>0</v>
      </c>
      <c r="AC32" s="270" t="str">
        <f>IF((AB32&gt;=70)*AND(L70=Y35),"REVISAR CATEGORIA DE VIVIENDA &lt; 70 m2",".")</f>
        <v>.</v>
      </c>
      <c r="AD32" s="232"/>
      <c r="AE32" s="232"/>
      <c r="AF32" s="232"/>
      <c r="AG32" s="232"/>
      <c r="AH32" s="232"/>
      <c r="AI32" s="232"/>
      <c r="AJ32" s="232"/>
      <c r="AK32" s="233"/>
    </row>
    <row r="33" spans="1:37" ht="13.5" thickBot="1" x14ac:dyDescent="0.25">
      <c r="A33" s="238"/>
      <c r="B33" s="244"/>
      <c r="C33" s="226"/>
      <c r="D33" s="226"/>
      <c r="E33" s="226"/>
      <c r="F33" s="226"/>
      <c r="G33" s="226"/>
      <c r="H33" s="226"/>
      <c r="I33" s="251" t="s">
        <v>15</v>
      </c>
      <c r="J33" s="257"/>
      <c r="K33" s="1027"/>
      <c r="L33" s="1028"/>
      <c r="M33" s="1028"/>
      <c r="N33" s="1028"/>
      <c r="O33" s="1028"/>
      <c r="P33" s="1028"/>
      <c r="Q33" s="1028"/>
      <c r="R33" s="1028"/>
      <c r="S33" s="1028"/>
      <c r="T33" s="1028"/>
      <c r="U33" s="1028"/>
      <c r="V33" s="1029"/>
      <c r="W33" s="238"/>
      <c r="X33" s="274" t="s">
        <v>683</v>
      </c>
      <c r="Y33" s="275">
        <f>ROUNDUP(0.25*C15,0)</f>
        <v>125000</v>
      </c>
      <c r="Z33" s="239"/>
      <c r="AA33" s="232"/>
      <c r="AB33" s="269">
        <f t="shared" si="0"/>
        <v>0</v>
      </c>
      <c r="AC33" s="270" t="str">
        <f>IF((AB33&gt;=70)*AND(I78=Y35),"REVISAR CATEGORIA DE VIVIENDA &lt; 70 m2",".")</f>
        <v>.</v>
      </c>
      <c r="AD33" s="271" t="str">
        <f>CONCATENATE(AC33,AC34,AC35,AC36)</f>
        <v>....</v>
      </c>
      <c r="AE33" s="232"/>
      <c r="AF33" s="232"/>
      <c r="AG33" s="232"/>
      <c r="AH33" s="232"/>
      <c r="AI33" s="232"/>
      <c r="AJ33" s="232"/>
      <c r="AK33" s="233"/>
    </row>
    <row r="34" spans="1:37" ht="13.5" thickBot="1" x14ac:dyDescent="0.25">
      <c r="A34" s="238"/>
      <c r="B34" s="244"/>
      <c r="C34" s="226"/>
      <c r="D34" s="226"/>
      <c r="E34" s="226"/>
      <c r="F34" s="226"/>
      <c r="G34" s="226"/>
      <c r="H34" s="226"/>
      <c r="I34" s="251" t="s">
        <v>16</v>
      </c>
      <c r="J34" s="257"/>
      <c r="K34" s="888"/>
      <c r="L34" s="886"/>
      <c r="M34" s="886"/>
      <c r="N34" s="886"/>
      <c r="O34" s="886"/>
      <c r="P34" s="886"/>
      <c r="Q34" s="886"/>
      <c r="R34" s="886"/>
      <c r="S34" s="886"/>
      <c r="T34" s="886"/>
      <c r="U34" s="886"/>
      <c r="V34" s="887"/>
      <c r="W34" s="238"/>
      <c r="X34" s="890" t="s">
        <v>361</v>
      </c>
      <c r="Y34" s="891"/>
      <c r="Z34" s="239"/>
      <c r="AA34" s="232"/>
      <c r="AB34" s="269">
        <f t="shared" si="0"/>
        <v>0</v>
      </c>
      <c r="AC34" s="270" t="str">
        <f>IF((AB34&gt;=70)*AND(I79=Y35),"REVISAR CATEGORIA DE VIVIENDA &lt; 70 m2",".")</f>
        <v>.</v>
      </c>
      <c r="AD34" s="232"/>
      <c r="AE34" s="232"/>
      <c r="AF34" s="232"/>
      <c r="AG34" s="232"/>
      <c r="AH34" s="232"/>
      <c r="AI34" s="232"/>
      <c r="AJ34" s="232"/>
      <c r="AK34" s="233"/>
    </row>
    <row r="35" spans="1:37" ht="13.5" thickBot="1" x14ac:dyDescent="0.25">
      <c r="A35" s="238"/>
      <c r="B35" s="276"/>
      <c r="C35" s="263"/>
      <c r="D35" s="263"/>
      <c r="E35" s="263"/>
      <c r="F35" s="263"/>
      <c r="G35" s="263"/>
      <c r="H35" s="263"/>
      <c r="I35" s="264" t="s">
        <v>17</v>
      </c>
      <c r="J35" s="277"/>
      <c r="K35" s="1033"/>
      <c r="L35" s="1034"/>
      <c r="M35" s="1034"/>
      <c r="N35" s="1034"/>
      <c r="O35" s="1034"/>
      <c r="P35" s="1034"/>
      <c r="Q35" s="1034"/>
      <c r="R35" s="1034"/>
      <c r="S35" s="1034"/>
      <c r="T35" s="1034"/>
      <c r="U35" s="1034"/>
      <c r="V35" s="1035"/>
      <c r="W35" s="238"/>
      <c r="X35" s="253" t="s">
        <v>362</v>
      </c>
      <c r="Y35" s="254"/>
      <c r="Z35" s="239"/>
      <c r="AA35" s="232"/>
      <c r="AB35" s="269">
        <f t="shared" si="0"/>
        <v>0</v>
      </c>
      <c r="AC35" s="270" t="str">
        <f>IF((AB35&gt;=70)*AND(I83=Y35),"REVISAR CATEGORIA DE VIVIENDA &lt; 70 m2",".")</f>
        <v>.</v>
      </c>
      <c r="AD35" s="232"/>
      <c r="AE35" s="232"/>
      <c r="AF35" s="232"/>
      <c r="AG35" s="232"/>
      <c r="AH35" s="232"/>
      <c r="AI35" s="232"/>
      <c r="AJ35" s="232"/>
      <c r="AK35" s="233"/>
    </row>
    <row r="36" spans="1:37" ht="13.5" thickBot="1" x14ac:dyDescent="0.25">
      <c r="A36" s="234">
        <v>3</v>
      </c>
      <c r="B36" s="235" t="s">
        <v>602</v>
      </c>
      <c r="C36" s="236"/>
      <c r="D36" s="236"/>
      <c r="E36" s="236"/>
      <c r="F36" s="236"/>
      <c r="G36" s="236"/>
      <c r="H36" s="236"/>
      <c r="I36" s="236"/>
      <c r="J36" s="235"/>
      <c r="K36" s="238"/>
      <c r="L36" s="236"/>
      <c r="M36" s="236" t="s">
        <v>22</v>
      </c>
      <c r="N36" s="278" t="s">
        <v>670</v>
      </c>
      <c r="O36" s="236"/>
      <c r="P36" s="236"/>
      <c r="Q36" s="236"/>
      <c r="R36" s="980">
        <f ca="1">TODAY()</f>
        <v>45378</v>
      </c>
      <c r="S36" s="980"/>
      <c r="T36" s="980"/>
      <c r="U36" s="980"/>
      <c r="V36" s="980"/>
      <c r="W36" s="981"/>
      <c r="X36" s="253" t="s">
        <v>363</v>
      </c>
      <c r="Y36" s="254">
        <f>ROUNDUP(0.3*C15,0)</f>
        <v>150000</v>
      </c>
      <c r="Z36" s="239"/>
      <c r="AA36" s="232"/>
      <c r="AB36" s="269">
        <f t="shared" si="0"/>
        <v>0</v>
      </c>
      <c r="AC36" s="270" t="str">
        <f>IF((AB36&gt;=70)*AND(I84=Y35),"REVISAR CATEGORIA DE VIVIENDA &lt; 70 m2",".")</f>
        <v>.</v>
      </c>
      <c r="AD36" s="232"/>
      <c r="AE36" s="232"/>
      <c r="AF36" s="232"/>
      <c r="AG36" s="232"/>
      <c r="AH36" s="232"/>
      <c r="AI36" s="232"/>
      <c r="AJ36" s="232"/>
      <c r="AK36" s="233"/>
    </row>
    <row r="37" spans="1:37" x14ac:dyDescent="0.2">
      <c r="A37" s="238"/>
      <c r="B37" s="240"/>
      <c r="C37" s="241"/>
      <c r="D37" s="241"/>
      <c r="E37" s="241"/>
      <c r="F37" s="241"/>
      <c r="G37" s="241"/>
      <c r="H37" s="241"/>
      <c r="I37" s="266" t="s">
        <v>23</v>
      </c>
      <c r="J37" s="267"/>
      <c r="K37" s="1036"/>
      <c r="L37" s="1022"/>
      <c r="M37" s="1022"/>
      <c r="N37" s="1022"/>
      <c r="O37" s="1022"/>
      <c r="P37" s="1022"/>
      <c r="Q37" s="1022"/>
      <c r="R37" s="1022"/>
      <c r="S37" s="1022"/>
      <c r="T37" s="1022"/>
      <c r="U37" s="1022"/>
      <c r="V37" s="1023"/>
      <c r="W37" s="238"/>
      <c r="X37" s="253" t="s">
        <v>364</v>
      </c>
      <c r="Y37" s="254">
        <f>ROUNDUP(0.45*C15,0)</f>
        <v>225000</v>
      </c>
      <c r="Z37" s="239"/>
      <c r="AA37" s="279"/>
      <c r="AB37" s="279"/>
      <c r="AC37" s="279"/>
      <c r="AD37" s="279"/>
      <c r="AE37" s="279"/>
      <c r="AF37" s="279"/>
      <c r="AG37" s="279"/>
      <c r="AH37" s="279"/>
      <c r="AI37" s="279"/>
      <c r="AJ37" s="279"/>
      <c r="AK37" s="233"/>
    </row>
    <row r="38" spans="1:37" ht="13.5" thickBot="1" x14ac:dyDescent="0.25">
      <c r="A38" s="238"/>
      <c r="B38" s="244"/>
      <c r="C38" s="226"/>
      <c r="D38" s="226"/>
      <c r="E38" s="226"/>
      <c r="F38" s="226"/>
      <c r="G38" s="226"/>
      <c r="H38" s="226"/>
      <c r="I38" s="251" t="s">
        <v>24</v>
      </c>
      <c r="J38" s="257"/>
      <c r="K38" s="982"/>
      <c r="L38" s="886"/>
      <c r="M38" s="886"/>
      <c r="N38" s="886"/>
      <c r="O38" s="886"/>
      <c r="P38" s="886"/>
      <c r="Q38" s="886"/>
      <c r="R38" s="886"/>
      <c r="S38" s="886"/>
      <c r="T38" s="886"/>
      <c r="U38" s="886"/>
      <c r="V38" s="887"/>
      <c r="W38" s="238"/>
      <c r="X38" s="253" t="s">
        <v>365</v>
      </c>
      <c r="Y38" s="254">
        <f>ROUNDUP(0.6*C15,0)</f>
        <v>300000</v>
      </c>
      <c r="Z38" s="239"/>
      <c r="AA38" s="279"/>
      <c r="AB38" s="280" t="s">
        <v>684</v>
      </c>
      <c r="AC38" s="281"/>
      <c r="AD38" s="282">
        <f>R73</f>
        <v>0</v>
      </c>
      <c r="AE38" s="283" t="s">
        <v>25</v>
      </c>
      <c r="AF38" s="283" t="s">
        <v>26</v>
      </c>
      <c r="AG38" s="283" t="s">
        <v>27</v>
      </c>
      <c r="AH38" s="283" t="s">
        <v>28</v>
      </c>
      <c r="AI38" s="283" t="s">
        <v>26</v>
      </c>
      <c r="AJ38" s="283" t="s">
        <v>29</v>
      </c>
      <c r="AK38" s="233"/>
    </row>
    <row r="39" spans="1:37" x14ac:dyDescent="0.2">
      <c r="A39" s="284"/>
      <c r="B39" s="244"/>
      <c r="C39" s="226"/>
      <c r="D39" s="226"/>
      <c r="E39" s="226"/>
      <c r="F39" s="226"/>
      <c r="G39" s="226"/>
      <c r="H39" s="226"/>
      <c r="I39" s="251" t="s">
        <v>608</v>
      </c>
      <c r="J39" s="257"/>
      <c r="K39" s="973"/>
      <c r="L39" s="974"/>
      <c r="M39" s="974"/>
      <c r="N39" s="974"/>
      <c r="O39" s="974"/>
      <c r="P39" s="974"/>
      <c r="Q39" s="974"/>
      <c r="R39" s="974"/>
      <c r="S39" s="974"/>
      <c r="T39" s="974"/>
      <c r="U39" s="974"/>
      <c r="V39" s="975"/>
      <c r="W39" s="238"/>
      <c r="X39" s="253" t="s">
        <v>366</v>
      </c>
      <c r="Y39" s="254">
        <f>ROUNDUP(1*C15,0)</f>
        <v>500000</v>
      </c>
      <c r="Z39" s="239"/>
      <c r="AA39" s="279"/>
      <c r="AB39" s="285">
        <f>1000000*C14</f>
        <v>25000000</v>
      </c>
      <c r="AC39" s="286">
        <v>8.5000000000000006E-2</v>
      </c>
      <c r="AD39" s="285">
        <f>AB39*AC39</f>
        <v>2125000</v>
      </c>
      <c r="AE39" s="285"/>
      <c r="AF39" s="285"/>
      <c r="AG39" s="285">
        <f>IF(AD38&lt;=AB39,AD38,0)</f>
        <v>0</v>
      </c>
      <c r="AH39" s="286">
        <f>IF(AD38&lt;=AB39,AC39,0)</f>
        <v>8.5000000000000006E-2</v>
      </c>
      <c r="AI39" s="287">
        <f t="shared" ref="AI39:AI44" si="1">AG39*AH39</f>
        <v>0</v>
      </c>
      <c r="AJ39" s="285">
        <f t="shared" ref="AJ39:AJ44" si="2">AI39+AF39</f>
        <v>0</v>
      </c>
      <c r="AK39" s="233"/>
    </row>
    <row r="40" spans="1:37" x14ac:dyDescent="0.2">
      <c r="A40" s="238"/>
      <c r="B40" s="244"/>
      <c r="C40" s="226"/>
      <c r="D40" s="226"/>
      <c r="E40" s="226"/>
      <c r="F40" s="226"/>
      <c r="G40" s="226"/>
      <c r="H40" s="226"/>
      <c r="I40" s="251" t="s">
        <v>606</v>
      </c>
      <c r="J40" s="257"/>
      <c r="K40" s="885"/>
      <c r="L40" s="886"/>
      <c r="M40" s="886"/>
      <c r="N40" s="886"/>
      <c r="O40" s="886"/>
      <c r="P40" s="886"/>
      <c r="Q40" s="886"/>
      <c r="R40" s="886"/>
      <c r="S40" s="886"/>
      <c r="T40" s="886"/>
      <c r="U40" s="886"/>
      <c r="V40" s="887"/>
      <c r="W40" s="238"/>
      <c r="X40" s="253" t="s">
        <v>367</v>
      </c>
      <c r="Y40" s="254">
        <f>ROUNDUP(0.1*C15,0)</f>
        <v>50000</v>
      </c>
      <c r="Z40" s="239"/>
      <c r="AA40" s="279"/>
      <c r="AB40" s="287">
        <f>5000000*C14</f>
        <v>125000000</v>
      </c>
      <c r="AC40" s="288">
        <v>0.08</v>
      </c>
      <c r="AD40" s="287">
        <f>(AB40-AB39)*AC40+AD39</f>
        <v>10125000</v>
      </c>
      <c r="AE40" s="287">
        <f>IF((AD38&gt;AB39)*AND(AD38&lt;=AB40),AB39,0)</f>
        <v>0</v>
      </c>
      <c r="AF40" s="287">
        <f>IF(AE40=AB39,AD39,0)</f>
        <v>0</v>
      </c>
      <c r="AG40" s="287">
        <f>IF(AE40=AB39,AD38-AB39,0)</f>
        <v>0</v>
      </c>
      <c r="AH40" s="288">
        <f>IF(AE40=AB39,AC40,0)</f>
        <v>0</v>
      </c>
      <c r="AI40" s="287">
        <f t="shared" si="1"/>
        <v>0</v>
      </c>
      <c r="AJ40" s="287">
        <f t="shared" si="2"/>
        <v>0</v>
      </c>
      <c r="AK40" s="233"/>
    </row>
    <row r="41" spans="1:37" x14ac:dyDescent="0.2">
      <c r="A41" s="238"/>
      <c r="B41" s="244"/>
      <c r="C41" s="226"/>
      <c r="D41" s="226"/>
      <c r="E41" s="226"/>
      <c r="F41" s="226"/>
      <c r="G41" s="226"/>
      <c r="H41" s="226"/>
      <c r="I41" s="251" t="s">
        <v>30</v>
      </c>
      <c r="J41" s="257"/>
      <c r="K41" s="885"/>
      <c r="L41" s="886"/>
      <c r="M41" s="886"/>
      <c r="N41" s="886"/>
      <c r="O41" s="886"/>
      <c r="P41" s="886"/>
      <c r="Q41" s="886"/>
      <c r="R41" s="886"/>
      <c r="S41" s="886"/>
      <c r="T41" s="886"/>
      <c r="U41" s="886"/>
      <c r="V41" s="887"/>
      <c r="W41" s="284"/>
      <c r="X41" s="253" t="s">
        <v>368</v>
      </c>
      <c r="Y41" s="254">
        <f>ROUNDUP(0.2*C15,0)</f>
        <v>100000</v>
      </c>
      <c r="Z41" s="239"/>
      <c r="AA41" s="279"/>
      <c r="AB41" s="287">
        <f>10000000*C14</f>
        <v>250000000</v>
      </c>
      <c r="AC41" s="288">
        <v>7.4999999999999997E-2</v>
      </c>
      <c r="AD41" s="287">
        <f>(AB41-AB40)*AC41+AD40</f>
        <v>19500000</v>
      </c>
      <c r="AE41" s="287">
        <f>IF((AD38&gt;AB40)*AND(AD38&lt;=AB41),AB40,0)</f>
        <v>0</v>
      </c>
      <c r="AF41" s="287">
        <f>IF(AE41=AB40,AD40,0)</f>
        <v>0</v>
      </c>
      <c r="AG41" s="287">
        <f>IF(AE41=AB40,AD38-AB40,0)</f>
        <v>0</v>
      </c>
      <c r="AH41" s="288">
        <f>IF(AE41=AB40,AC41,0)</f>
        <v>0</v>
      </c>
      <c r="AI41" s="287">
        <f t="shared" si="1"/>
        <v>0</v>
      </c>
      <c r="AJ41" s="287">
        <f t="shared" si="2"/>
        <v>0</v>
      </c>
      <c r="AK41" s="233"/>
    </row>
    <row r="42" spans="1:37" ht="13.5" thickBot="1" x14ac:dyDescent="0.25">
      <c r="A42" s="238"/>
      <c r="B42" s="262"/>
      <c r="C42" s="263"/>
      <c r="D42" s="263"/>
      <c r="E42" s="263"/>
      <c r="F42" s="263"/>
      <c r="G42" s="263"/>
      <c r="H42" s="263"/>
      <c r="I42" s="264" t="s">
        <v>607</v>
      </c>
      <c r="J42" s="265"/>
      <c r="K42" s="1018"/>
      <c r="L42" s="1019"/>
      <c r="M42" s="1019"/>
      <c r="N42" s="1019"/>
      <c r="O42" s="1019"/>
      <c r="P42" s="1019"/>
      <c r="Q42" s="1019"/>
      <c r="R42" s="1019"/>
      <c r="S42" s="1019"/>
      <c r="T42" s="1019"/>
      <c r="U42" s="1019"/>
      <c r="V42" s="1020"/>
      <c r="W42" s="238"/>
      <c r="X42" s="260" t="s">
        <v>369</v>
      </c>
      <c r="Y42" s="690"/>
      <c r="Z42" s="239"/>
      <c r="AA42" s="279"/>
      <c r="AB42" s="287">
        <f>30000000*C14</f>
        <v>750000000</v>
      </c>
      <c r="AC42" s="288">
        <v>7.0000000000000007E-2</v>
      </c>
      <c r="AD42" s="287">
        <f>(AB42-AB41)*AC42+AD41</f>
        <v>54500000</v>
      </c>
      <c r="AE42" s="287">
        <f>IF((AD38&gt;AB41)*AND(AD38&lt;=AB42),AB41,0)</f>
        <v>0</v>
      </c>
      <c r="AF42" s="287">
        <f>IF(AE42=AB41,AD41,0)</f>
        <v>0</v>
      </c>
      <c r="AG42" s="287">
        <f>IF(AE42=AB41,AD38-AB41,0)</f>
        <v>0</v>
      </c>
      <c r="AH42" s="288">
        <f>IF(AE42=AB41,AC42,0)</f>
        <v>0</v>
      </c>
      <c r="AI42" s="287">
        <f t="shared" si="1"/>
        <v>0</v>
      </c>
      <c r="AJ42" s="287">
        <f t="shared" si="2"/>
        <v>0</v>
      </c>
      <c r="AK42" s="233"/>
    </row>
    <row r="43" spans="1:37" ht="13.5" thickBot="1" x14ac:dyDescent="0.25">
      <c r="A43" s="234">
        <v>4</v>
      </c>
      <c r="B43" s="235" t="s">
        <v>32</v>
      </c>
      <c r="C43" s="236"/>
      <c r="D43" s="236"/>
      <c r="E43" s="236"/>
      <c r="F43" s="236"/>
      <c r="G43" s="236"/>
      <c r="H43" s="236"/>
      <c r="I43" s="236"/>
      <c r="J43" s="235"/>
      <c r="K43" s="238"/>
      <c r="L43" s="236"/>
      <c r="M43" s="236"/>
      <c r="N43" s="236"/>
      <c r="O43" s="236"/>
      <c r="P43" s="236"/>
      <c r="Q43" s="236"/>
      <c r="R43" s="236"/>
      <c r="S43" s="236"/>
      <c r="T43" s="236"/>
      <c r="U43" s="236"/>
      <c r="V43" s="236"/>
      <c r="W43" s="238"/>
      <c r="X43" s="253" t="s">
        <v>370</v>
      </c>
      <c r="Y43" s="254">
        <f>ROUNDUP(0.1*C15,0)</f>
        <v>50000</v>
      </c>
      <c r="Z43" s="239"/>
      <c r="AA43" s="279"/>
      <c r="AB43" s="287">
        <f>100000000*C14</f>
        <v>2500000000</v>
      </c>
      <c r="AC43" s="288">
        <v>6.5000000000000002E-2</v>
      </c>
      <c r="AD43" s="287">
        <f>(AB43-AB42)*AC43+AD42</f>
        <v>168250000</v>
      </c>
      <c r="AE43" s="287">
        <f>IF((AD38&gt;AB42)*AND(AD38&lt;=AB43),AB42,0)</f>
        <v>0</v>
      </c>
      <c r="AF43" s="287">
        <f>IF(AE43=AB42,AD42,0)</f>
        <v>0</v>
      </c>
      <c r="AG43" s="287">
        <f>IF(AE43=AB42,AD38-AB42,0)</f>
        <v>0</v>
      </c>
      <c r="AH43" s="288">
        <f>IF(AE43=AB42,AC43,0)</f>
        <v>0</v>
      </c>
      <c r="AI43" s="287">
        <f t="shared" si="1"/>
        <v>0</v>
      </c>
      <c r="AJ43" s="287">
        <f t="shared" si="2"/>
        <v>0</v>
      </c>
      <c r="AK43" s="233"/>
    </row>
    <row r="44" spans="1:37" ht="13.5" thickBot="1" x14ac:dyDescent="0.25">
      <c r="A44" s="238"/>
      <c r="B44" s="240"/>
      <c r="C44" s="241"/>
      <c r="D44" s="241"/>
      <c r="E44" s="241"/>
      <c r="F44" s="241"/>
      <c r="G44" s="241"/>
      <c r="H44" s="241"/>
      <c r="I44" s="289" t="s">
        <v>33</v>
      </c>
      <c r="J44" s="290"/>
      <c r="K44" s="1021"/>
      <c r="L44" s="1022"/>
      <c r="M44" s="1022"/>
      <c r="N44" s="1022"/>
      <c r="O44" s="1022"/>
      <c r="P44" s="1022"/>
      <c r="Q44" s="1022"/>
      <c r="R44" s="1022"/>
      <c r="S44" s="1022"/>
      <c r="T44" s="1022"/>
      <c r="U44" s="1022"/>
      <c r="V44" s="1023"/>
      <c r="W44" s="238"/>
      <c r="X44" s="253" t="s">
        <v>371</v>
      </c>
      <c r="Y44" s="254">
        <f>ROUNDUP(0.08*C15,0)</f>
        <v>40000</v>
      </c>
      <c r="Z44" s="239"/>
      <c r="AA44" s="279"/>
      <c r="AB44" s="287">
        <f>100000001*C14</f>
        <v>2500000025</v>
      </c>
      <c r="AC44" s="288">
        <v>0.06</v>
      </c>
      <c r="AD44" s="291"/>
      <c r="AE44" s="292">
        <f>IF(AD38&gt;AB43,AB43,0)</f>
        <v>0</v>
      </c>
      <c r="AF44" s="292">
        <f>IF(AE44=AB43,AD43,0)</f>
        <v>0</v>
      </c>
      <c r="AG44" s="292">
        <f>IF(AE44=AB43,AD38-AB43,0)</f>
        <v>0</v>
      </c>
      <c r="AH44" s="293">
        <f>IF(AE44=AB43,AC44,0)</f>
        <v>0</v>
      </c>
      <c r="AI44" s="292">
        <f t="shared" si="1"/>
        <v>0</v>
      </c>
      <c r="AJ44" s="292">
        <f t="shared" si="2"/>
        <v>0</v>
      </c>
      <c r="AK44" s="233"/>
    </row>
    <row r="45" spans="1:37" ht="13.5" thickBot="1" x14ac:dyDescent="0.25">
      <c r="A45" s="238"/>
      <c r="B45" s="244"/>
      <c r="C45" s="226"/>
      <c r="D45" s="226"/>
      <c r="E45" s="226"/>
      <c r="F45" s="226"/>
      <c r="G45" s="226"/>
      <c r="H45" s="226"/>
      <c r="I45" s="294" t="s">
        <v>34</v>
      </c>
      <c r="J45" s="295"/>
      <c r="K45" s="888"/>
      <c r="L45" s="886"/>
      <c r="M45" s="886"/>
      <c r="N45" s="886"/>
      <c r="O45" s="886"/>
      <c r="P45" s="886"/>
      <c r="Q45" s="886"/>
      <c r="R45" s="886"/>
      <c r="S45" s="886"/>
      <c r="T45" s="886"/>
      <c r="U45" s="886"/>
      <c r="V45" s="887"/>
      <c r="W45" s="238"/>
      <c r="X45" s="253" t="s">
        <v>372</v>
      </c>
      <c r="Y45" s="254">
        <f>ROUNDUP(0.07*C15,0)</f>
        <v>35000</v>
      </c>
      <c r="Z45" s="239"/>
      <c r="AA45" s="279"/>
      <c r="AB45" s="296"/>
      <c r="AC45" s="296"/>
      <c r="AD45" s="296"/>
      <c r="AE45" s="297">
        <f t="shared" ref="AE45:AJ45" si="3">SUM(AE39:AE44)</f>
        <v>0</v>
      </c>
      <c r="AF45" s="298">
        <f t="shared" si="3"/>
        <v>0</v>
      </c>
      <c r="AG45" s="298">
        <f t="shared" si="3"/>
        <v>0</v>
      </c>
      <c r="AH45" s="299">
        <f t="shared" si="3"/>
        <v>8.5000000000000006E-2</v>
      </c>
      <c r="AI45" s="298">
        <f t="shared" si="3"/>
        <v>0</v>
      </c>
      <c r="AJ45" s="300">
        <f t="shared" si="3"/>
        <v>0</v>
      </c>
      <c r="AK45" s="233"/>
    </row>
    <row r="46" spans="1:37" ht="13.5" thickBot="1" x14ac:dyDescent="0.25">
      <c r="A46" s="238"/>
      <c r="B46" s="244"/>
      <c r="C46" s="226"/>
      <c r="D46" s="226"/>
      <c r="E46" s="226"/>
      <c r="F46" s="226"/>
      <c r="G46" s="226"/>
      <c r="H46" s="226"/>
      <c r="I46" s="251" t="s">
        <v>35</v>
      </c>
      <c r="J46" s="295"/>
      <c r="K46" s="1030"/>
      <c r="L46" s="1031"/>
      <c r="M46" s="1031"/>
      <c r="N46" s="1031"/>
      <c r="O46" s="1031"/>
      <c r="P46" s="1031"/>
      <c r="Q46" s="1031"/>
      <c r="R46" s="1031"/>
      <c r="S46" s="1031"/>
      <c r="T46" s="1031"/>
      <c r="U46" s="1031"/>
      <c r="V46" s="1032"/>
      <c r="W46" s="238"/>
      <c r="X46" s="890" t="s">
        <v>31</v>
      </c>
      <c r="Y46" s="891"/>
      <c r="Z46" s="239"/>
      <c r="AA46" s="279"/>
      <c r="AB46" s="280" t="s">
        <v>685</v>
      </c>
      <c r="AC46" s="281"/>
      <c r="AD46" s="282">
        <f>R86</f>
        <v>0</v>
      </c>
      <c r="AE46" s="283" t="s">
        <v>25</v>
      </c>
      <c r="AF46" s="283" t="s">
        <v>26</v>
      </c>
      <c r="AG46" s="283" t="s">
        <v>27</v>
      </c>
      <c r="AH46" s="283" t="s">
        <v>28</v>
      </c>
      <c r="AI46" s="283" t="s">
        <v>26</v>
      </c>
      <c r="AJ46" s="283" t="s">
        <v>29</v>
      </c>
      <c r="AK46" s="233"/>
    </row>
    <row r="47" spans="1:37" x14ac:dyDescent="0.2">
      <c r="A47" s="238"/>
      <c r="B47" s="244"/>
      <c r="C47" s="226"/>
      <c r="D47" s="226"/>
      <c r="E47" s="226"/>
      <c r="F47" s="226"/>
      <c r="G47" s="226"/>
      <c r="H47" s="226"/>
      <c r="I47" s="251" t="s">
        <v>16</v>
      </c>
      <c r="J47" s="295"/>
      <c r="K47" s="888"/>
      <c r="L47" s="886"/>
      <c r="M47" s="886"/>
      <c r="N47" s="886"/>
      <c r="O47" s="886"/>
      <c r="P47" s="886"/>
      <c r="Q47" s="886"/>
      <c r="R47" s="886"/>
      <c r="S47" s="886"/>
      <c r="T47" s="886"/>
      <c r="U47" s="886"/>
      <c r="V47" s="887"/>
      <c r="W47" s="238"/>
      <c r="X47" s="253" t="s">
        <v>373</v>
      </c>
      <c r="Y47" s="254">
        <f>ROUNDUP(0.5*C15,0)</f>
        <v>250000</v>
      </c>
      <c r="Z47" s="239"/>
      <c r="AA47" s="279"/>
      <c r="AB47" s="285">
        <f>200000*C14</f>
        <v>5000000</v>
      </c>
      <c r="AC47" s="286">
        <v>1.2500000000000001E-2</v>
      </c>
      <c r="AD47" s="285">
        <f>AB47*AC47</f>
        <v>62500</v>
      </c>
      <c r="AE47" s="285"/>
      <c r="AF47" s="285"/>
      <c r="AG47" s="285">
        <f>IF(AD46&lt;=AB47,AD46,0)</f>
        <v>0</v>
      </c>
      <c r="AH47" s="286">
        <f>IF(AD46&lt;=AB47,AC47,0)</f>
        <v>1.2500000000000001E-2</v>
      </c>
      <c r="AI47" s="285">
        <f>AG47*AH47</f>
        <v>0</v>
      </c>
      <c r="AJ47" s="285">
        <f>AI47+AF47</f>
        <v>0</v>
      </c>
      <c r="AK47" s="233"/>
    </row>
    <row r="48" spans="1:37" x14ac:dyDescent="0.2">
      <c r="A48" s="238"/>
      <c r="B48" s="244"/>
      <c r="C48" s="226"/>
      <c r="D48" s="226"/>
      <c r="E48" s="226"/>
      <c r="F48" s="226"/>
      <c r="G48" s="226"/>
      <c r="H48" s="226"/>
      <c r="I48" s="251" t="s">
        <v>17</v>
      </c>
      <c r="J48" s="295"/>
      <c r="K48" s="988"/>
      <c r="L48" s="989"/>
      <c r="M48" s="989"/>
      <c r="N48" s="989"/>
      <c r="O48" s="989"/>
      <c r="P48" s="989"/>
      <c r="Q48" s="989"/>
      <c r="R48" s="989"/>
      <c r="S48" s="989"/>
      <c r="T48" s="989"/>
      <c r="U48" s="989"/>
      <c r="V48" s="990"/>
      <c r="W48" s="234"/>
      <c r="X48" s="253" t="s">
        <v>374</v>
      </c>
      <c r="Y48" s="254">
        <f>ROUNDUP(0.7*C15,0)</f>
        <v>350000</v>
      </c>
      <c r="Z48" s="239"/>
      <c r="AA48" s="279"/>
      <c r="AB48" s="287">
        <f>1000000*C14</f>
        <v>25000000</v>
      </c>
      <c r="AC48" s="288">
        <v>0.01</v>
      </c>
      <c r="AD48" s="287">
        <f>(AB48-AB47)*AC48+AD47</f>
        <v>262500</v>
      </c>
      <c r="AE48" s="287">
        <f>IF((AD46&gt;AB47)*AND(AD46&lt;=AB48),AB47,0)</f>
        <v>0</v>
      </c>
      <c r="AF48" s="287">
        <f>IF(AE48=AB47,AD47,0)</f>
        <v>0</v>
      </c>
      <c r="AG48" s="287">
        <f>IF(AE48=AB47,AD46-AE48,0)</f>
        <v>0</v>
      </c>
      <c r="AH48" s="288">
        <f>IF(AE48=AB47,AC48,0)</f>
        <v>0</v>
      </c>
      <c r="AI48" s="287">
        <f>AG48*AH48</f>
        <v>0</v>
      </c>
      <c r="AJ48" s="287">
        <f>AI48+AF48</f>
        <v>0</v>
      </c>
      <c r="AK48" s="233"/>
    </row>
    <row r="49" spans="1:37" x14ac:dyDescent="0.2">
      <c r="A49" s="238"/>
      <c r="B49" s="244"/>
      <c r="C49" s="226"/>
      <c r="D49" s="226"/>
      <c r="E49" s="226"/>
      <c r="F49" s="226"/>
      <c r="G49" s="226"/>
      <c r="H49" s="226"/>
      <c r="I49" s="251" t="s">
        <v>686</v>
      </c>
      <c r="J49" s="295"/>
      <c r="K49" s="888"/>
      <c r="L49" s="886"/>
      <c r="M49" s="886"/>
      <c r="N49" s="886"/>
      <c r="O49" s="886"/>
      <c r="P49" s="886"/>
      <c r="Q49" s="886"/>
      <c r="R49" s="886"/>
      <c r="S49" s="886"/>
      <c r="T49" s="886"/>
      <c r="U49" s="886"/>
      <c r="V49" s="887"/>
      <c r="W49" s="238"/>
      <c r="X49" s="253" t="s">
        <v>375</v>
      </c>
      <c r="Y49" s="254">
        <f>ROUNDUP(0.8*C15,0)</f>
        <v>400000</v>
      </c>
      <c r="Z49" s="239"/>
      <c r="AA49" s="279"/>
      <c r="AB49" s="287">
        <f>2000000*C14</f>
        <v>50000000</v>
      </c>
      <c r="AC49" s="288">
        <v>7.0000000000000001E-3</v>
      </c>
      <c r="AD49" s="287">
        <f>(AB49-AB48)*AC49+AD48</f>
        <v>437500</v>
      </c>
      <c r="AE49" s="287">
        <f>IF((AD46&gt;AB48)*AND(AD46&lt;=AB49),AB48,0)</f>
        <v>0</v>
      </c>
      <c r="AF49" s="287">
        <f>IF(AE49=AB48,AD48,0)</f>
        <v>0</v>
      </c>
      <c r="AG49" s="287">
        <f>IF(AE49=AB48,AD46-AE49,0)</f>
        <v>0</v>
      </c>
      <c r="AH49" s="288">
        <f>IF(AE49=AB48,AC49,0)</f>
        <v>0</v>
      </c>
      <c r="AI49" s="287">
        <f>AG49*AH49</f>
        <v>0</v>
      </c>
      <c r="AJ49" s="287">
        <f>AI49+AF49</f>
        <v>0</v>
      </c>
      <c r="AK49" s="233"/>
    </row>
    <row r="50" spans="1:37" ht="13.5" thickBot="1" x14ac:dyDescent="0.25">
      <c r="A50" s="238"/>
      <c r="B50" s="244"/>
      <c r="C50" s="226"/>
      <c r="D50" s="226"/>
      <c r="E50" s="226"/>
      <c r="F50" s="226"/>
      <c r="G50" s="226"/>
      <c r="H50" s="226"/>
      <c r="I50" s="251" t="s">
        <v>687</v>
      </c>
      <c r="J50" s="295"/>
      <c r="K50" s="888"/>
      <c r="L50" s="886"/>
      <c r="M50" s="886"/>
      <c r="N50" s="886"/>
      <c r="O50" s="886"/>
      <c r="P50" s="886"/>
      <c r="Q50" s="886"/>
      <c r="R50" s="886"/>
      <c r="S50" s="886"/>
      <c r="T50" s="886"/>
      <c r="U50" s="886"/>
      <c r="V50" s="887"/>
      <c r="W50" s="238"/>
      <c r="X50" s="253" t="s">
        <v>376</v>
      </c>
      <c r="Y50" s="254">
        <f>ROUNDUP(1.4*C15,0)</f>
        <v>700000</v>
      </c>
      <c r="Z50" s="239"/>
      <c r="AA50" s="279"/>
      <c r="AB50" s="287">
        <f>5000000*C14</f>
        <v>125000000</v>
      </c>
      <c r="AC50" s="288">
        <v>5.0000000000000001E-3</v>
      </c>
      <c r="AD50" s="287">
        <f>(AB50-AB49)*AC50+AD49</f>
        <v>812500</v>
      </c>
      <c r="AE50" s="287">
        <f>IF((AD46&gt;AB49)*AND(AD46&lt;=AB50),AB49,0)</f>
        <v>0</v>
      </c>
      <c r="AF50" s="287">
        <f>IF(AE50=AB49,AD49,0)</f>
        <v>0</v>
      </c>
      <c r="AG50" s="287">
        <f>IF(AE50=AB49,AD46-AE50,0)</f>
        <v>0</v>
      </c>
      <c r="AH50" s="288">
        <f>IF(AE50=AB49,AC50,0)</f>
        <v>0</v>
      </c>
      <c r="AI50" s="287">
        <f>AG50*AH50</f>
        <v>0</v>
      </c>
      <c r="AJ50" s="287">
        <f>AI50+AF50</f>
        <v>0</v>
      </c>
      <c r="AK50" s="233"/>
    </row>
    <row r="51" spans="1:37" ht="13.5" thickBot="1" x14ac:dyDescent="0.25">
      <c r="A51" s="238"/>
      <c r="B51" s="244"/>
      <c r="C51" s="226"/>
      <c r="D51" s="226"/>
      <c r="E51" s="226"/>
      <c r="F51" s="226"/>
      <c r="G51" s="226"/>
      <c r="H51" s="226"/>
      <c r="I51" s="251" t="s">
        <v>38</v>
      </c>
      <c r="J51" s="295"/>
      <c r="K51" s="939"/>
      <c r="L51" s="940"/>
      <c r="M51" s="940"/>
      <c r="N51" s="940"/>
      <c r="O51" s="940"/>
      <c r="P51" s="940"/>
      <c r="Q51" s="940"/>
      <c r="R51" s="940"/>
      <c r="S51" s="940"/>
      <c r="T51" s="940"/>
      <c r="U51" s="940"/>
      <c r="V51" s="941"/>
      <c r="W51" s="238"/>
      <c r="X51" s="890" t="s">
        <v>36</v>
      </c>
      <c r="Y51" s="891"/>
      <c r="Z51" s="239"/>
      <c r="AA51" s="279"/>
      <c r="AB51" s="287">
        <f>5000001*C14</f>
        <v>125000025</v>
      </c>
      <c r="AC51" s="288">
        <v>3.0000000000000001E-3</v>
      </c>
      <c r="AD51" s="291"/>
      <c r="AE51" s="287">
        <f>IF(AD46&gt;AB50,AB50,0)</f>
        <v>0</v>
      </c>
      <c r="AF51" s="287">
        <f>IF(AE51=AB50,AD50,0)</f>
        <v>0</v>
      </c>
      <c r="AG51" s="287">
        <f>IF(AE51=AB50,AD46-AE51,0)</f>
        <v>0</v>
      </c>
      <c r="AH51" s="288">
        <f>IF(AE51=AB50,AC51,0)</f>
        <v>0</v>
      </c>
      <c r="AI51" s="287">
        <f>AG51*AH51</f>
        <v>0</v>
      </c>
      <c r="AJ51" s="287">
        <f>AI51+AF51</f>
        <v>0</v>
      </c>
      <c r="AK51" s="233"/>
    </row>
    <row r="52" spans="1:37" ht="13.5" thickBot="1" x14ac:dyDescent="0.25">
      <c r="A52" s="238"/>
      <c r="B52" s="244"/>
      <c r="C52" s="226"/>
      <c r="D52" s="226"/>
      <c r="E52" s="226"/>
      <c r="F52" s="226"/>
      <c r="G52" s="226"/>
      <c r="H52" s="226"/>
      <c r="I52" s="251" t="s">
        <v>40</v>
      </c>
      <c r="J52" s="295"/>
      <c r="K52" s="939"/>
      <c r="L52" s="940"/>
      <c r="M52" s="940"/>
      <c r="N52" s="940"/>
      <c r="O52" s="940"/>
      <c r="P52" s="940"/>
      <c r="Q52" s="940"/>
      <c r="R52" s="940"/>
      <c r="S52" s="940"/>
      <c r="T52" s="940"/>
      <c r="U52" s="940"/>
      <c r="V52" s="941"/>
      <c r="W52" s="238"/>
      <c r="X52" s="253" t="s">
        <v>37</v>
      </c>
      <c r="Y52" s="254">
        <f>ROUNDUP(1*C15,0)</f>
        <v>500000</v>
      </c>
      <c r="Z52" s="239"/>
      <c r="AA52" s="279"/>
      <c r="AB52" s="296"/>
      <c r="AC52" s="296"/>
      <c r="AD52" s="296"/>
      <c r="AE52" s="297">
        <f t="shared" ref="AE52:AJ52" si="4">SUM(AE47:AE51)</f>
        <v>0</v>
      </c>
      <c r="AF52" s="298">
        <f t="shared" si="4"/>
        <v>0</v>
      </c>
      <c r="AG52" s="298">
        <f t="shared" si="4"/>
        <v>0</v>
      </c>
      <c r="AH52" s="299">
        <f t="shared" si="4"/>
        <v>1.2500000000000001E-2</v>
      </c>
      <c r="AI52" s="298">
        <f t="shared" si="4"/>
        <v>0</v>
      </c>
      <c r="AJ52" s="300">
        <f t="shared" si="4"/>
        <v>0</v>
      </c>
      <c r="AK52" s="233"/>
    </row>
    <row r="53" spans="1:37" ht="13.5" thickBot="1" x14ac:dyDescent="0.25">
      <c r="A53" s="238"/>
      <c r="B53" s="262"/>
      <c r="C53" s="263"/>
      <c r="D53" s="263"/>
      <c r="E53" s="263"/>
      <c r="F53" s="263"/>
      <c r="G53" s="263"/>
      <c r="H53" s="263"/>
      <c r="I53" s="264" t="s">
        <v>42</v>
      </c>
      <c r="J53" s="301"/>
      <c r="K53" s="942"/>
      <c r="L53" s="943"/>
      <c r="M53" s="943"/>
      <c r="N53" s="943"/>
      <c r="O53" s="943"/>
      <c r="P53" s="943"/>
      <c r="Q53" s="943"/>
      <c r="R53" s="943"/>
      <c r="S53" s="943"/>
      <c r="T53" s="943"/>
      <c r="U53" s="943"/>
      <c r="V53" s="944"/>
      <c r="W53" s="238"/>
      <c r="X53" s="253" t="s">
        <v>679</v>
      </c>
      <c r="Y53" s="254">
        <f>ROUNDUP(1*C15,0)</f>
        <v>500000</v>
      </c>
      <c r="Z53" s="239"/>
      <c r="AA53" s="279"/>
      <c r="AB53" s="280" t="s">
        <v>684</v>
      </c>
      <c r="AC53" s="281"/>
      <c r="AD53" s="282">
        <f>SUM(R81:R85)</f>
        <v>0</v>
      </c>
      <c r="AE53" s="283" t="s">
        <v>25</v>
      </c>
      <c r="AF53" s="283" t="s">
        <v>26</v>
      </c>
      <c r="AG53" s="283" t="s">
        <v>27</v>
      </c>
      <c r="AH53" s="283" t="s">
        <v>28</v>
      </c>
      <c r="AI53" s="283" t="s">
        <v>26</v>
      </c>
      <c r="AJ53" s="283" t="s">
        <v>29</v>
      </c>
      <c r="AK53" s="233"/>
    </row>
    <row r="54" spans="1:37" ht="13.5" thickBot="1" x14ac:dyDescent="0.25">
      <c r="A54" s="234">
        <v>5</v>
      </c>
      <c r="B54" s="235" t="s">
        <v>44</v>
      </c>
      <c r="C54" s="236"/>
      <c r="D54" s="236"/>
      <c r="E54" s="236"/>
      <c r="F54" s="236"/>
      <c r="G54" s="236"/>
      <c r="H54" s="236"/>
      <c r="I54" s="236"/>
      <c r="J54" s="235"/>
      <c r="K54" s="302"/>
      <c r="L54" s="236"/>
      <c r="M54" s="236"/>
      <c r="N54" s="236"/>
      <c r="O54" s="236"/>
      <c r="P54" s="236"/>
      <c r="Q54" s="236"/>
      <c r="R54" s="236"/>
      <c r="S54" s="236"/>
      <c r="T54" s="236"/>
      <c r="U54" s="236"/>
      <c r="V54" s="236"/>
      <c r="W54" s="238"/>
      <c r="X54" s="253" t="s">
        <v>39</v>
      </c>
      <c r="Y54" s="254">
        <f>ROUNDUP(1*C15,0)</f>
        <v>500000</v>
      </c>
      <c r="Z54" s="239"/>
      <c r="AA54" s="279"/>
      <c r="AB54" s="285">
        <f>1000000*C14</f>
        <v>25000000</v>
      </c>
      <c r="AC54" s="286">
        <v>8.5000000000000006E-2</v>
      </c>
      <c r="AD54" s="285">
        <f>AB54*AC54</f>
        <v>2125000</v>
      </c>
      <c r="AE54" s="287"/>
      <c r="AF54" s="287"/>
      <c r="AG54" s="285">
        <f>IF(AD53&lt;=AB54,AD53,0)</f>
        <v>0</v>
      </c>
      <c r="AH54" s="286">
        <f>IF(AD53&lt;=AB54,AC54,0)</f>
        <v>8.5000000000000006E-2</v>
      </c>
      <c r="AI54" s="287">
        <f t="shared" ref="AI54:AI59" si="5">AG54*AH54</f>
        <v>0</v>
      </c>
      <c r="AJ54" s="287">
        <f t="shared" ref="AJ54:AJ59" si="6">AI54+AF54</f>
        <v>0</v>
      </c>
      <c r="AK54" s="233"/>
    </row>
    <row r="55" spans="1:37" ht="13.5" thickBot="1" x14ac:dyDescent="0.25">
      <c r="A55" s="238"/>
      <c r="B55" s="303"/>
      <c r="C55" s="228"/>
      <c r="D55" s="228"/>
      <c r="E55" s="228"/>
      <c r="F55" s="228"/>
      <c r="G55" s="228"/>
      <c r="H55" s="228"/>
      <c r="I55" s="304" t="s">
        <v>688</v>
      </c>
      <c r="J55" s="305"/>
      <c r="K55" s="1043"/>
      <c r="L55" s="1044"/>
      <c r="M55" s="1044"/>
      <c r="N55" s="1044"/>
      <c r="O55" s="1044"/>
      <c r="P55" s="1044"/>
      <c r="Q55" s="1044"/>
      <c r="R55" s="1044"/>
      <c r="S55" s="1044"/>
      <c r="T55" s="1044"/>
      <c r="U55" s="1044"/>
      <c r="V55" s="1045"/>
      <c r="W55" s="302"/>
      <c r="X55" s="253" t="s">
        <v>41</v>
      </c>
      <c r="Y55" s="254">
        <f>ROUNDUP(1*C15,0)</f>
        <v>500000</v>
      </c>
      <c r="Z55" s="239"/>
      <c r="AA55" s="279"/>
      <c r="AB55" s="287">
        <f>5000000*C14</f>
        <v>125000000</v>
      </c>
      <c r="AC55" s="288">
        <v>0.08</v>
      </c>
      <c r="AD55" s="287">
        <f>(AB55-AB54)*AC55+AD54</f>
        <v>10125000</v>
      </c>
      <c r="AE55" s="287">
        <f>IF((AD53&gt;AB54)*AND(AD53&lt;=AB55),AB54,0)</f>
        <v>0</v>
      </c>
      <c r="AF55" s="287">
        <f>IF(AE55=AB54,AD54,0)</f>
        <v>0</v>
      </c>
      <c r="AG55" s="287">
        <f>IF(AE55=AB54,AD53-AB54,0)</f>
        <v>0</v>
      </c>
      <c r="AH55" s="288">
        <f>IF(AE55=AB54,AC55,0)</f>
        <v>0</v>
      </c>
      <c r="AI55" s="287">
        <f t="shared" si="5"/>
        <v>0</v>
      </c>
      <c r="AJ55" s="287">
        <f t="shared" si="6"/>
        <v>0</v>
      </c>
      <c r="AK55" s="233"/>
    </row>
    <row r="56" spans="1:37" ht="13.5" thickBot="1" x14ac:dyDescent="0.25">
      <c r="A56" s="234">
        <v>6</v>
      </c>
      <c r="B56" s="235" t="s">
        <v>47</v>
      </c>
      <c r="C56" s="236"/>
      <c r="D56" s="236"/>
      <c r="E56" s="236"/>
      <c r="F56" s="236"/>
      <c r="G56" s="236"/>
      <c r="H56" s="236"/>
      <c r="I56" s="236"/>
      <c r="J56" s="235"/>
      <c r="K56" s="238"/>
      <c r="L56" s="236"/>
      <c r="M56" s="236" t="s">
        <v>22</v>
      </c>
      <c r="N56" s="236"/>
      <c r="O56" s="236"/>
      <c r="P56" s="236"/>
      <c r="Q56" s="236"/>
      <c r="R56" s="236"/>
      <c r="S56" s="236"/>
      <c r="T56" s="236"/>
      <c r="U56" s="236"/>
      <c r="V56" s="236"/>
      <c r="W56" s="238"/>
      <c r="X56" s="253" t="s">
        <v>43</v>
      </c>
      <c r="Y56" s="254">
        <f>ROUNDUP(1*C15,0)</f>
        <v>500000</v>
      </c>
      <c r="Z56" s="239"/>
      <c r="AA56" s="279"/>
      <c r="AB56" s="287">
        <f>10000000*C14</f>
        <v>250000000</v>
      </c>
      <c r="AC56" s="288">
        <v>7.4999999999999997E-2</v>
      </c>
      <c r="AD56" s="287">
        <f>(AB56-AB55)*AC56+AD55</f>
        <v>19500000</v>
      </c>
      <c r="AE56" s="287">
        <f>IF((AD53&gt;AB55)*AND(AD53&lt;=AB56),AB55,0)</f>
        <v>0</v>
      </c>
      <c r="AF56" s="287">
        <f>IF(AE56=AB55,AD55,0)</f>
        <v>0</v>
      </c>
      <c r="AG56" s="287">
        <f>IF(AE56=AB55,AD53-AB55,0)</f>
        <v>0</v>
      </c>
      <c r="AH56" s="288">
        <f>IF(AE56=AB55,AC56,0)</f>
        <v>0</v>
      </c>
      <c r="AI56" s="287">
        <f t="shared" si="5"/>
        <v>0</v>
      </c>
      <c r="AJ56" s="287">
        <f t="shared" si="6"/>
        <v>0</v>
      </c>
      <c r="AK56" s="233"/>
    </row>
    <row r="57" spans="1:37" x14ac:dyDescent="0.2">
      <c r="A57" s="238"/>
      <c r="B57" s="240"/>
      <c r="C57" s="241"/>
      <c r="D57" s="241"/>
      <c r="E57" s="241"/>
      <c r="F57" s="241"/>
      <c r="G57" s="241"/>
      <c r="H57" s="241"/>
      <c r="I57" s="306" t="s">
        <v>49</v>
      </c>
      <c r="J57" s="307"/>
      <c r="K57" s="1021"/>
      <c r="L57" s="1022"/>
      <c r="M57" s="1022"/>
      <c r="N57" s="1022"/>
      <c r="O57" s="1022"/>
      <c r="P57" s="1022"/>
      <c r="Q57" s="1022"/>
      <c r="R57" s="1022"/>
      <c r="S57" s="1022"/>
      <c r="T57" s="1022"/>
      <c r="U57" s="1022"/>
      <c r="V57" s="1023"/>
      <c r="W57" s="238"/>
      <c r="X57" s="253" t="s">
        <v>45</v>
      </c>
      <c r="Y57" s="254">
        <f>ROUNDUP(1.4*C15,0)</f>
        <v>700000</v>
      </c>
      <c r="Z57" s="239"/>
      <c r="AA57" s="279"/>
      <c r="AB57" s="287">
        <f>30000000*C14</f>
        <v>750000000</v>
      </c>
      <c r="AC57" s="288">
        <v>7.0000000000000007E-2</v>
      </c>
      <c r="AD57" s="287">
        <f>(AB57-AB56)*AC57+AD56</f>
        <v>54500000</v>
      </c>
      <c r="AE57" s="287">
        <f>IF((AD53&gt;AB56)*AND(AD53&lt;=AB57),AB56,0)</f>
        <v>0</v>
      </c>
      <c r="AF57" s="287">
        <f>IF(AE57=AB56,AD56,0)</f>
        <v>0</v>
      </c>
      <c r="AG57" s="287">
        <f>IF(AE57=AB56,AD53-AB56,0)</f>
        <v>0</v>
      </c>
      <c r="AH57" s="288">
        <f>IF(AE57=AB56,AC57,0)</f>
        <v>0</v>
      </c>
      <c r="AI57" s="287">
        <f t="shared" si="5"/>
        <v>0</v>
      </c>
      <c r="AJ57" s="287">
        <f t="shared" si="6"/>
        <v>0</v>
      </c>
      <c r="AK57" s="233"/>
    </row>
    <row r="58" spans="1:37" x14ac:dyDescent="0.2">
      <c r="A58" s="238"/>
      <c r="B58" s="244"/>
      <c r="C58" s="226"/>
      <c r="D58" s="226"/>
      <c r="E58" s="226"/>
      <c r="F58" s="226"/>
      <c r="G58" s="226"/>
      <c r="H58" s="226"/>
      <c r="I58" s="294" t="s">
        <v>51</v>
      </c>
      <c r="J58" s="295"/>
      <c r="K58" s="1024"/>
      <c r="L58" s="974"/>
      <c r="M58" s="974"/>
      <c r="N58" s="974"/>
      <c r="O58" s="974"/>
      <c r="P58" s="974"/>
      <c r="Q58" s="974"/>
      <c r="R58" s="974"/>
      <c r="S58" s="974"/>
      <c r="T58" s="974"/>
      <c r="U58" s="974"/>
      <c r="V58" s="975"/>
      <c r="W58" s="234"/>
      <c r="X58" s="253" t="s">
        <v>46</v>
      </c>
      <c r="Y58" s="254">
        <f>ROUNDUP(0.375*C15,0)</f>
        <v>187500</v>
      </c>
      <c r="Z58" s="239"/>
      <c r="AA58" s="279"/>
      <c r="AB58" s="287">
        <f>100000000*C14</f>
        <v>2500000000</v>
      </c>
      <c r="AC58" s="288">
        <v>6.5000000000000002E-2</v>
      </c>
      <c r="AD58" s="287">
        <f>(AB58-AB57)*AC58+AD57</f>
        <v>168250000</v>
      </c>
      <c r="AE58" s="287">
        <f>IF((AD53&gt;AB57)*AND(AD53&lt;=AB58),AB57,0)</f>
        <v>0</v>
      </c>
      <c r="AF58" s="287">
        <f>IF(AE58=AB57,AD57,0)</f>
        <v>0</v>
      </c>
      <c r="AG58" s="287">
        <f>IF(AE58=AB57,AD53-AB57,0)</f>
        <v>0</v>
      </c>
      <c r="AH58" s="288">
        <f>IF(AE58=AB57,AC58,0)</f>
        <v>0</v>
      </c>
      <c r="AI58" s="287">
        <f t="shared" si="5"/>
        <v>0</v>
      </c>
      <c r="AJ58" s="287">
        <f t="shared" si="6"/>
        <v>0</v>
      </c>
      <c r="AK58" s="233"/>
    </row>
    <row r="59" spans="1:37" ht="13.5" thickBot="1" x14ac:dyDescent="0.25">
      <c r="A59" s="238"/>
      <c r="B59" s="244"/>
      <c r="C59" s="226"/>
      <c r="D59" s="226"/>
      <c r="E59" s="226"/>
      <c r="F59" s="226"/>
      <c r="G59" s="226"/>
      <c r="H59" s="226"/>
      <c r="I59" s="294" t="s">
        <v>485</v>
      </c>
      <c r="J59" s="295"/>
      <c r="K59" s="1050"/>
      <c r="L59" s="1051"/>
      <c r="M59" s="1052"/>
      <c r="N59" s="1046" t="str">
        <f>IF(K59="reajuste","Cont. Anterior en $","")</f>
        <v/>
      </c>
      <c r="O59" s="1046"/>
      <c r="P59" s="1046"/>
      <c r="Q59" s="1046"/>
      <c r="R59" s="1046"/>
      <c r="S59" s="1010"/>
      <c r="T59" s="1011"/>
      <c r="U59" s="1011"/>
      <c r="V59" s="1012"/>
      <c r="W59" s="238"/>
      <c r="X59" s="258" t="s">
        <v>48</v>
      </c>
      <c r="Y59" s="259">
        <f>ROUNDUP(0.875*C15,0)</f>
        <v>437500</v>
      </c>
      <c r="Z59" s="239"/>
      <c r="AA59" s="279"/>
      <c r="AB59" s="287">
        <f>100000001*C14</f>
        <v>2500000025</v>
      </c>
      <c r="AC59" s="288">
        <v>0.06</v>
      </c>
      <c r="AD59" s="291"/>
      <c r="AE59" s="292">
        <f>IF(AD53&gt;AB58,AB58,0)</f>
        <v>0</v>
      </c>
      <c r="AF59" s="292">
        <f>IF(AE59=AB58,AD58,0)</f>
        <v>0</v>
      </c>
      <c r="AG59" s="292">
        <f>IF(AE59=AB58,AD53-AB58,0)</f>
        <v>0</v>
      </c>
      <c r="AH59" s="293">
        <f>IF(AE59=AB58,AC59,0)</f>
        <v>0</v>
      </c>
      <c r="AI59" s="292">
        <f t="shared" si="5"/>
        <v>0</v>
      </c>
      <c r="AJ59" s="292">
        <f t="shared" si="6"/>
        <v>0</v>
      </c>
      <c r="AK59" s="233"/>
    </row>
    <row r="60" spans="1:37" ht="13.5" thickBot="1" x14ac:dyDescent="0.25">
      <c r="A60" s="238"/>
      <c r="B60" s="262"/>
      <c r="C60" s="263"/>
      <c r="D60" s="263"/>
      <c r="E60" s="263"/>
      <c r="F60" s="263"/>
      <c r="G60" s="263"/>
      <c r="H60" s="263"/>
      <c r="I60" s="308" t="s">
        <v>53</v>
      </c>
      <c r="J60" s="301"/>
      <c r="K60" s="1047"/>
      <c r="L60" s="1048"/>
      <c r="M60" s="1048"/>
      <c r="N60" s="1048"/>
      <c r="O60" s="1048"/>
      <c r="P60" s="1048"/>
      <c r="Q60" s="1048"/>
      <c r="R60" s="1048"/>
      <c r="S60" s="1048"/>
      <c r="T60" s="1048"/>
      <c r="U60" s="1048"/>
      <c r="V60" s="1049"/>
      <c r="W60" s="238"/>
      <c r="X60" s="890" t="s">
        <v>50</v>
      </c>
      <c r="Y60" s="891"/>
      <c r="Z60" s="239"/>
      <c r="AA60" s="279"/>
      <c r="AB60" s="296"/>
      <c r="AC60" s="296"/>
      <c r="AD60" s="296"/>
      <c r="AE60" s="297">
        <f t="shared" ref="AE60:AJ60" si="7">SUM(AE54:AE59)</f>
        <v>0</v>
      </c>
      <c r="AF60" s="298">
        <f t="shared" si="7"/>
        <v>0</v>
      </c>
      <c r="AG60" s="298">
        <f t="shared" si="7"/>
        <v>0</v>
      </c>
      <c r="AH60" s="299">
        <f t="shared" si="7"/>
        <v>8.5000000000000006E-2</v>
      </c>
      <c r="AI60" s="298">
        <f t="shared" si="7"/>
        <v>0</v>
      </c>
      <c r="AJ60" s="300">
        <f t="shared" si="7"/>
        <v>0</v>
      </c>
      <c r="AK60" s="233"/>
    </row>
    <row r="61" spans="1:37" ht="13.5" thickBot="1" x14ac:dyDescent="0.25">
      <c r="A61" s="234">
        <v>7</v>
      </c>
      <c r="B61" s="235" t="s">
        <v>55</v>
      </c>
      <c r="C61" s="236"/>
      <c r="D61" s="236"/>
      <c r="E61" s="236"/>
      <c r="F61" s="236"/>
      <c r="G61" s="236"/>
      <c r="H61" s="236"/>
      <c r="I61" s="236"/>
      <c r="J61" s="235"/>
      <c r="K61" s="309"/>
      <c r="L61" s="236"/>
      <c r="M61" s="236"/>
      <c r="N61" s="236"/>
      <c r="O61" s="236"/>
      <c r="P61" s="236"/>
      <c r="Q61" s="236"/>
      <c r="R61" s="236"/>
      <c r="S61" s="236"/>
      <c r="T61" s="236"/>
      <c r="U61" s="236"/>
      <c r="V61" s="236"/>
      <c r="W61" s="238"/>
      <c r="X61" s="253" t="s">
        <v>52</v>
      </c>
      <c r="Y61" s="254">
        <f>ROUNDUP(0.5*C15,0)</f>
        <v>250000</v>
      </c>
      <c r="Z61" s="239"/>
      <c r="AA61" s="279"/>
      <c r="AB61" s="310"/>
      <c r="AC61" s="310"/>
      <c r="AD61" s="310"/>
      <c r="AE61" s="311" t="s">
        <v>57</v>
      </c>
      <c r="AF61" s="311" t="s">
        <v>58</v>
      </c>
      <c r="AG61" s="310"/>
      <c r="AH61" s="279"/>
      <c r="AI61" s="279"/>
      <c r="AJ61" s="279"/>
      <c r="AK61" s="233"/>
    </row>
    <row r="62" spans="1:37" ht="13.5" thickBot="1" x14ac:dyDescent="0.25">
      <c r="A62" s="238"/>
      <c r="B62" s="240"/>
      <c r="C62" s="241"/>
      <c r="D62" s="241"/>
      <c r="E62" s="241"/>
      <c r="F62" s="241"/>
      <c r="G62" s="241"/>
      <c r="H62" s="241"/>
      <c r="I62" s="306" t="s">
        <v>572</v>
      </c>
      <c r="J62" s="307"/>
      <c r="K62" s="934"/>
      <c r="L62" s="935"/>
      <c r="M62" s="312" t="s">
        <v>609</v>
      </c>
      <c r="N62" s="313"/>
      <c r="O62" s="313"/>
      <c r="P62" s="313"/>
      <c r="Q62" s="313"/>
      <c r="R62" s="313"/>
      <c r="S62" s="313"/>
      <c r="T62" s="313"/>
      <c r="U62" s="313"/>
      <c r="V62" s="314"/>
      <c r="W62" s="315"/>
      <c r="X62" s="253" t="s">
        <v>377</v>
      </c>
      <c r="Y62" s="254">
        <f>ROUNDUP(1*C15,0)</f>
        <v>500000</v>
      </c>
      <c r="Z62" s="239"/>
      <c r="AA62" s="279"/>
      <c r="AB62" s="316"/>
      <c r="AC62" s="317"/>
      <c r="AD62" s="318" t="str">
        <f>IF((AE62&lt;Y149)*AND(AF62&lt;70)*AND(L78=Y20)*AND(AG62=0),"VER HONORARIO MINIMO VIVIENDA &lt; 70 m2",".")</f>
        <v>.</v>
      </c>
      <c r="AE62" s="319">
        <f>H115</f>
        <v>0</v>
      </c>
      <c r="AF62" s="320">
        <f>SUM(D78:D84)</f>
        <v>0</v>
      </c>
      <c r="AG62" s="320">
        <f>SUM(D67:G70)</f>
        <v>0</v>
      </c>
      <c r="AH62" s="247" t="str">
        <f>CONCATENATE(AD62,AD63)</f>
        <v>..</v>
      </c>
      <c r="AI62" s="279"/>
      <c r="AJ62" s="279"/>
      <c r="AK62" s="233"/>
    </row>
    <row r="63" spans="1:37" ht="13.5" thickBot="1" x14ac:dyDescent="0.25">
      <c r="A63" s="238"/>
      <c r="B63" s="244"/>
      <c r="C63" s="226"/>
      <c r="D63" s="226"/>
      <c r="E63" s="226"/>
      <c r="F63" s="226"/>
      <c r="G63" s="226"/>
      <c r="H63" s="226"/>
      <c r="I63" s="294" t="s">
        <v>573</v>
      </c>
      <c r="J63" s="295"/>
      <c r="K63" s="986"/>
      <c r="L63" s="987"/>
      <c r="M63" s="312" t="s">
        <v>609</v>
      </c>
      <c r="N63" s="313"/>
      <c r="O63" s="313"/>
      <c r="P63" s="313"/>
      <c r="Q63" s="313"/>
      <c r="R63" s="313"/>
      <c r="S63" s="313"/>
      <c r="T63" s="313"/>
      <c r="U63" s="313"/>
      <c r="V63" s="314" t="s">
        <v>22</v>
      </c>
      <c r="W63" s="238"/>
      <c r="X63" s="258" t="s">
        <v>54</v>
      </c>
      <c r="Y63" s="259">
        <f>ROUNDUP(1.4*C15,0)</f>
        <v>700000</v>
      </c>
      <c r="Z63" s="239"/>
      <c r="AA63" s="279"/>
      <c r="AB63" s="316"/>
      <c r="AC63" s="317"/>
      <c r="AD63" s="318" t="str">
        <f>IF((AE63&lt;Y150)*AND(AF63&gt;=70)*AND(L78=Y24)*AND(AG63=0),"VER HONORARIO MINIMO VIVIENDA &gt; 70 m2",".")</f>
        <v>.</v>
      </c>
      <c r="AE63" s="321">
        <f t="shared" ref="AE63:AG64" si="8">AE62</f>
        <v>0</v>
      </c>
      <c r="AF63" s="322">
        <f>AF62</f>
        <v>0</v>
      </c>
      <c r="AG63" s="320">
        <f t="shared" si="8"/>
        <v>0</v>
      </c>
      <c r="AH63" s="310"/>
      <c r="AI63" s="279"/>
      <c r="AJ63" s="279"/>
      <c r="AK63" s="233"/>
    </row>
    <row r="64" spans="1:37" ht="13.5" thickBot="1" x14ac:dyDescent="0.25">
      <c r="A64" s="238"/>
      <c r="B64" s="996" t="s">
        <v>323</v>
      </c>
      <c r="C64" s="997"/>
      <c r="D64" s="997"/>
      <c r="E64" s="997"/>
      <c r="F64" s="997"/>
      <c r="G64" s="997"/>
      <c r="H64" s="997"/>
      <c r="I64" s="997"/>
      <c r="J64" s="998"/>
      <c r="K64" s="1053"/>
      <c r="L64" s="1054"/>
      <c r="M64" s="312" t="str">
        <f>IF(K64=0%,"Otro profesional asume la construcción",IF(K64&lt;=20%,"Estudio de Proyecto (Otro  Profesional hizo el proyecto)",IF(K64&lt;=45%,"Contratos Separados",IF(K64&gt;=75%,"Administración",IF(K64=60%,IF(K63=40%,"Contratos Separados y Estudio de Proyecto","Administración"))))))</f>
        <v>Otro profesional asume la construcción</v>
      </c>
      <c r="N64" s="313"/>
      <c r="O64" s="313"/>
      <c r="P64" s="313"/>
      <c r="Q64" s="313"/>
      <c r="R64" s="313"/>
      <c r="S64" s="313"/>
      <c r="T64" s="313"/>
      <c r="U64" s="313"/>
      <c r="V64" s="314"/>
      <c r="W64" s="238"/>
      <c r="X64" s="890" t="s">
        <v>56</v>
      </c>
      <c r="Y64" s="891"/>
      <c r="Z64" s="239"/>
      <c r="AA64" s="279"/>
      <c r="AB64" s="316"/>
      <c r="AC64" s="317"/>
      <c r="AD64" s="318" t="str">
        <f>IF((AE64&lt;Y150)*AND(I78=AF76)*AND(AG64=0),"VER HONORARIO MINIMO COMERCIO",".")</f>
        <v>.</v>
      </c>
      <c r="AE64" s="321">
        <f t="shared" si="8"/>
        <v>0</v>
      </c>
      <c r="AF64" s="322">
        <f>AF63</f>
        <v>0</v>
      </c>
      <c r="AG64" s="322">
        <f t="shared" si="8"/>
        <v>0</v>
      </c>
      <c r="AH64" s="310"/>
      <c r="AI64" s="279"/>
      <c r="AJ64" s="279"/>
      <c r="AK64" s="233"/>
    </row>
    <row r="65" spans="1:55" ht="13.5" thickBot="1" x14ac:dyDescent="0.25">
      <c r="A65" s="234">
        <v>8</v>
      </c>
      <c r="B65" s="235" t="s">
        <v>689</v>
      </c>
      <c r="C65" s="236"/>
      <c r="D65" s="238"/>
      <c r="E65" s="236"/>
      <c r="F65" s="236"/>
      <c r="G65" s="236"/>
      <c r="H65" s="325"/>
      <c r="I65" s="326"/>
      <c r="J65" s="327"/>
      <c r="K65" s="328"/>
      <c r="L65" s="328"/>
      <c r="M65" s="326"/>
      <c r="N65" s="328"/>
      <c r="O65" s="328"/>
      <c r="P65" s="328"/>
      <c r="Q65" s="249"/>
      <c r="R65" s="328"/>
      <c r="S65" s="328"/>
      <c r="T65" s="328"/>
      <c r="U65" s="328"/>
      <c r="V65" s="328"/>
      <c r="W65" s="238"/>
      <c r="X65" s="253" t="s">
        <v>59</v>
      </c>
      <c r="Y65" s="254">
        <f>ROUNDUP(0.7*C15,0)</f>
        <v>350000</v>
      </c>
      <c r="Z65" s="239"/>
      <c r="AA65" s="279"/>
      <c r="AB65" s="329" t="str">
        <f>IF(H115&gt;(R115+0.001),"HONORARIO POR MEDICION CONVENIDO","HONORARIO MINIMO")</f>
        <v>HONORARIO MINIMO</v>
      </c>
      <c r="AC65" s="330"/>
      <c r="AD65" s="330"/>
      <c r="AE65" s="317"/>
      <c r="AF65" s="317"/>
      <c r="AG65" s="331"/>
      <c r="AH65" s="310"/>
      <c r="AI65" s="279"/>
      <c r="AJ65" s="279"/>
      <c r="AK65" s="233"/>
    </row>
    <row r="66" spans="1:55" ht="13.5" thickBot="1" x14ac:dyDescent="0.25">
      <c r="A66" s="236"/>
      <c r="B66" s="332" t="s">
        <v>63</v>
      </c>
      <c r="C66" s="241"/>
      <c r="D66" s="333"/>
      <c r="E66" s="241"/>
      <c r="F66" s="241"/>
      <c r="G66" s="241"/>
      <c r="H66" s="307" t="s">
        <v>64</v>
      </c>
      <c r="I66" s="334"/>
      <c r="J66" s="307"/>
      <c r="K66" s="335"/>
      <c r="L66" s="335"/>
      <c r="M66" s="307"/>
      <c r="N66" s="241"/>
      <c r="O66" s="335"/>
      <c r="P66" s="335"/>
      <c r="Q66" s="335"/>
      <c r="R66" s="1013">
        <f>C14</f>
        <v>25</v>
      </c>
      <c r="S66" s="1014"/>
      <c r="T66" s="1014"/>
      <c r="U66" s="1014"/>
      <c r="V66" s="1015"/>
      <c r="W66" s="238"/>
      <c r="X66" s="253" t="s">
        <v>60</v>
      </c>
      <c r="Y66" s="254">
        <f>ROUNDUP(0.8*C15,0)</f>
        <v>400000</v>
      </c>
      <c r="Z66" s="239"/>
      <c r="AA66" s="279"/>
      <c r="AB66" s="336" t="str">
        <f>IF(H115&lt;(R115-0.001)," INSUFICIENTE",".")</f>
        <v>.</v>
      </c>
      <c r="AC66" s="337"/>
      <c r="AD66" s="337"/>
      <c r="AE66" s="279"/>
      <c r="AF66" s="279"/>
      <c r="AG66" s="337"/>
      <c r="AH66" s="279"/>
      <c r="AI66" s="279"/>
      <c r="AJ66" s="279"/>
      <c r="AK66" s="233"/>
    </row>
    <row r="67" spans="1:55" x14ac:dyDescent="0.2">
      <c r="A67" s="236"/>
      <c r="B67" s="258" t="s">
        <v>465</v>
      </c>
      <c r="C67" s="226"/>
      <c r="D67" s="993"/>
      <c r="E67" s="994"/>
      <c r="F67" s="994"/>
      <c r="G67" s="995"/>
      <c r="H67" s="295" t="s">
        <v>612</v>
      </c>
      <c r="I67" s="338"/>
      <c r="J67" s="232"/>
      <c r="K67" s="232"/>
      <c r="L67" s="907"/>
      <c r="M67" s="908"/>
      <c r="N67" s="908"/>
      <c r="O67" s="909"/>
      <c r="P67" s="295" t="s">
        <v>434</v>
      </c>
      <c r="Q67" s="339"/>
      <c r="R67" s="892">
        <f>+D67*L67</f>
        <v>0</v>
      </c>
      <c r="S67" s="892"/>
      <c r="T67" s="892"/>
      <c r="U67" s="892"/>
      <c r="V67" s="893"/>
      <c r="W67" s="238"/>
      <c r="X67" s="253" t="s">
        <v>61</v>
      </c>
      <c r="Y67" s="254">
        <f>ROUNDUP(1*C15,0)</f>
        <v>500000</v>
      </c>
      <c r="Z67" s="239"/>
      <c r="AA67" s="279"/>
      <c r="AB67" s="336" t="str">
        <f>IF(H134&gt;=T134,".",IF(K59="Reajuste",".","MONTO DE CONTADO INSUFICIENTE"))</f>
        <v>.</v>
      </c>
      <c r="AC67" s="337"/>
      <c r="AD67" s="279"/>
      <c r="AE67" s="279"/>
      <c r="AF67" s="279"/>
      <c r="AG67" s="337"/>
      <c r="AH67" s="279"/>
      <c r="AI67" s="279"/>
      <c r="AJ67" s="279"/>
      <c r="AK67" s="233"/>
    </row>
    <row r="68" spans="1:55" ht="13.5" thickBot="1" x14ac:dyDescent="0.25">
      <c r="A68" s="236"/>
      <c r="B68" s="258" t="s">
        <v>465</v>
      </c>
      <c r="C68" s="226"/>
      <c r="D68" s="1003"/>
      <c r="E68" s="1004"/>
      <c r="F68" s="1004"/>
      <c r="G68" s="1005"/>
      <c r="H68" s="295" t="s">
        <v>612</v>
      </c>
      <c r="I68" s="338"/>
      <c r="J68" s="232"/>
      <c r="K68" s="232"/>
      <c r="L68" s="916"/>
      <c r="M68" s="917"/>
      <c r="N68" s="917"/>
      <c r="O68" s="918"/>
      <c r="P68" s="295" t="s">
        <v>434</v>
      </c>
      <c r="Q68" s="339"/>
      <c r="R68" s="892">
        <f>+D68*L68</f>
        <v>0</v>
      </c>
      <c r="S68" s="892"/>
      <c r="T68" s="892"/>
      <c r="U68" s="892"/>
      <c r="V68" s="893"/>
      <c r="W68" s="238"/>
      <c r="X68" s="258" t="s">
        <v>62</v>
      </c>
      <c r="Y68" s="259">
        <f>ROUNDUP(1.4*C15,0)</f>
        <v>700000</v>
      </c>
      <c r="Z68" s="239"/>
      <c r="AA68" s="279"/>
      <c r="AB68" s="340" t="str">
        <f>IF(H134&gt;H129+0.001,"MONTO LIQUIDADO SUPERIOR AL TOTAL",".")</f>
        <v>.</v>
      </c>
      <c r="AC68" s="337"/>
      <c r="AD68" s="337"/>
      <c r="AE68" s="337"/>
      <c r="AF68" s="337"/>
      <c r="AG68" s="337"/>
      <c r="AH68" s="279"/>
      <c r="AI68" s="279"/>
      <c r="AJ68" s="279"/>
      <c r="AK68" s="233"/>
    </row>
    <row r="69" spans="1:55" ht="13.5" thickBot="1" x14ac:dyDescent="0.25">
      <c r="A69" s="236"/>
      <c r="B69" s="258" t="s">
        <v>466</v>
      </c>
      <c r="C69" s="226"/>
      <c r="D69" s="1003"/>
      <c r="E69" s="1004"/>
      <c r="F69" s="1004"/>
      <c r="G69" s="1005"/>
      <c r="H69" s="295" t="s">
        <v>612</v>
      </c>
      <c r="I69" s="338"/>
      <c r="J69" s="232"/>
      <c r="K69" s="232"/>
      <c r="L69" s="916"/>
      <c r="M69" s="917"/>
      <c r="N69" s="917"/>
      <c r="O69" s="918"/>
      <c r="P69" s="295" t="s">
        <v>434</v>
      </c>
      <c r="Q69" s="339"/>
      <c r="R69" s="892">
        <f>+D69*L69</f>
        <v>0</v>
      </c>
      <c r="S69" s="892"/>
      <c r="T69" s="892"/>
      <c r="U69" s="892"/>
      <c r="V69" s="893"/>
      <c r="W69" s="238"/>
      <c r="X69" s="890" t="s">
        <v>65</v>
      </c>
      <c r="Y69" s="891"/>
      <c r="Z69" s="239"/>
      <c r="AA69" s="279"/>
      <c r="AB69" s="279"/>
      <c r="AC69" s="337"/>
      <c r="AD69" s="337"/>
      <c r="AE69" s="336"/>
      <c r="AF69" s="341"/>
      <c r="AG69" s="337"/>
      <c r="AH69" s="279"/>
      <c r="AI69" s="279"/>
      <c r="AJ69" s="279"/>
      <c r="AK69" s="233"/>
    </row>
    <row r="70" spans="1:55" ht="13.5" thickBot="1" x14ac:dyDescent="0.25">
      <c r="A70" s="236"/>
      <c r="B70" s="258" t="s">
        <v>466</v>
      </c>
      <c r="C70" s="226"/>
      <c r="D70" s="919"/>
      <c r="E70" s="920"/>
      <c r="F70" s="920"/>
      <c r="G70" s="921"/>
      <c r="H70" s="295" t="s">
        <v>612</v>
      </c>
      <c r="I70" s="338"/>
      <c r="J70" s="232"/>
      <c r="K70" s="232"/>
      <c r="L70" s="936"/>
      <c r="M70" s="937"/>
      <c r="N70" s="937"/>
      <c r="O70" s="938"/>
      <c r="P70" s="295" t="s">
        <v>434</v>
      </c>
      <c r="Q70" s="339"/>
      <c r="R70" s="892">
        <f>+D70*L70</f>
        <v>0</v>
      </c>
      <c r="S70" s="892"/>
      <c r="T70" s="892"/>
      <c r="U70" s="892"/>
      <c r="V70" s="893"/>
      <c r="W70" s="238"/>
      <c r="X70" s="258" t="s">
        <v>67</v>
      </c>
      <c r="Y70" s="259">
        <f>ROUNDUP(1.25*C15,0)</f>
        <v>625000</v>
      </c>
      <c r="Z70" s="239"/>
      <c r="AA70" s="279"/>
      <c r="AB70" s="280" t="s">
        <v>0</v>
      </c>
      <c r="AC70" s="281"/>
      <c r="AD70" s="282">
        <f>R108</f>
        <v>0</v>
      </c>
      <c r="AE70" s="283" t="s">
        <v>25</v>
      </c>
      <c r="AF70" s="283" t="s">
        <v>26</v>
      </c>
      <c r="AG70" s="283" t="s">
        <v>27</v>
      </c>
      <c r="AH70" s="283" t="s">
        <v>28</v>
      </c>
      <c r="AI70" s="283" t="s">
        <v>26</v>
      </c>
      <c r="AJ70" s="283" t="s">
        <v>29</v>
      </c>
      <c r="AK70" s="233"/>
    </row>
    <row r="71" spans="1:55" ht="13.5" thickBot="1" x14ac:dyDescent="0.25">
      <c r="A71" s="236"/>
      <c r="B71" s="258" t="s">
        <v>494</v>
      </c>
      <c r="C71" s="226"/>
      <c r="D71" s="124" t="s">
        <v>714</v>
      </c>
      <c r="E71" s="1001">
        <f>IF(D71="NO",0,IF(L84=L83/2,D81+D82+D83+D84/2,D81+D82+D83+D84))</f>
        <v>0</v>
      </c>
      <c r="F71" s="1002"/>
      <c r="G71" s="295" t="s">
        <v>622</v>
      </c>
      <c r="H71" s="226"/>
      <c r="I71" s="342"/>
      <c r="J71" s="1037">
        <f>IF(D71="NO",0,R71/E71/O71)</f>
        <v>0</v>
      </c>
      <c r="K71" s="1037"/>
      <c r="L71" s="1037"/>
      <c r="M71" s="343" t="s">
        <v>620</v>
      </c>
      <c r="N71" s="344" t="s">
        <v>621</v>
      </c>
      <c r="O71" s="1038">
        <f>IF(D71="NO",0,100%-'Acta Est. Obra'!F48)</f>
        <v>0</v>
      </c>
      <c r="P71" s="1038"/>
      <c r="Q71" s="339"/>
      <c r="R71" s="892">
        <f>IF(D71="SI",(100%-'Acta Est. Obra'!F48)*(D81*L81+D82*L82+D83*L83+D84*L84),0)</f>
        <v>0</v>
      </c>
      <c r="S71" s="892"/>
      <c r="T71" s="892"/>
      <c r="U71" s="892"/>
      <c r="V71" s="893"/>
      <c r="W71" s="238"/>
      <c r="X71" s="890" t="s">
        <v>68</v>
      </c>
      <c r="Y71" s="891"/>
      <c r="Z71" s="239"/>
      <c r="AA71" s="279"/>
      <c r="AB71" s="345"/>
      <c r="AC71" s="346"/>
      <c r="AD71" s="347"/>
      <c r="AE71" s="348"/>
      <c r="AF71" s="348"/>
      <c r="AG71" s="349"/>
      <c r="AH71" s="349"/>
      <c r="AI71" s="348"/>
      <c r="AJ71" s="348"/>
      <c r="AK71" s="233"/>
      <c r="BB71" s="776" t="s">
        <v>578</v>
      </c>
      <c r="BC71" s="776" t="s">
        <v>579</v>
      </c>
    </row>
    <row r="72" spans="1:55" ht="13.5" thickBot="1" x14ac:dyDescent="0.25">
      <c r="A72" s="236"/>
      <c r="B72" s="913" t="s">
        <v>594</v>
      </c>
      <c r="C72" s="914"/>
      <c r="D72" s="914"/>
      <c r="E72" s="914"/>
      <c r="F72" s="914"/>
      <c r="G72" s="914"/>
      <c r="H72" s="914"/>
      <c r="I72" s="914"/>
      <c r="J72" s="914"/>
      <c r="K72" s="915"/>
      <c r="L72" s="1007"/>
      <c r="M72" s="1008"/>
      <c r="N72" s="1008"/>
      <c r="O72" s="1009"/>
      <c r="P72" s="295" t="s">
        <v>434</v>
      </c>
      <c r="Q72" s="226"/>
      <c r="R72" s="892">
        <f>L72</f>
        <v>0</v>
      </c>
      <c r="S72" s="892"/>
      <c r="T72" s="892"/>
      <c r="U72" s="892"/>
      <c r="V72" s="893"/>
      <c r="W72" s="238"/>
      <c r="X72" s="253" t="s">
        <v>69</v>
      </c>
      <c r="Y72" s="254">
        <f>ROUNDUP(0.8*C15,0)</f>
        <v>400000</v>
      </c>
      <c r="Z72" s="239"/>
      <c r="AA72" s="279"/>
      <c r="AB72" s="285">
        <f>1000000*C14</f>
        <v>25000000</v>
      </c>
      <c r="AC72" s="286">
        <v>0.05</v>
      </c>
      <c r="AD72" s="285">
        <f>AB72*AC72</f>
        <v>1250000</v>
      </c>
      <c r="AE72" s="287"/>
      <c r="AF72" s="287"/>
      <c r="AG72" s="285">
        <f>IF(AD70&lt;=AB72,AD70,0)</f>
        <v>0</v>
      </c>
      <c r="AH72" s="286">
        <f>IF(AD70&lt;=AB72,AC72,0)</f>
        <v>0.05</v>
      </c>
      <c r="AI72" s="287">
        <f t="shared" ref="AI72:AI77" si="9">AG72*AH72</f>
        <v>0</v>
      </c>
      <c r="AJ72" s="287">
        <f t="shared" ref="AJ72:AJ77" si="10">AI72+AF72</f>
        <v>0</v>
      </c>
      <c r="AK72" s="233"/>
    </row>
    <row r="73" spans="1:55" ht="13.5" thickBot="1" x14ac:dyDescent="0.25">
      <c r="A73" s="236"/>
      <c r="B73" s="350" t="s">
        <v>690</v>
      </c>
      <c r="C73" s="226"/>
      <c r="D73" s="351"/>
      <c r="E73" s="226"/>
      <c r="F73" s="226"/>
      <c r="G73" s="226"/>
      <c r="H73" s="351"/>
      <c r="I73" s="226"/>
      <c r="J73" s="232"/>
      <c r="K73" s="232"/>
      <c r="L73" s="1040">
        <f>AJ45</f>
        <v>0</v>
      </c>
      <c r="M73" s="1041"/>
      <c r="N73" s="1041"/>
      <c r="O73" s="1042"/>
      <c r="P73" s="352" t="s">
        <v>71</v>
      </c>
      <c r="Q73" s="353"/>
      <c r="R73" s="896">
        <f>SUM(R67,R68,R69,R70,R71,L72)</f>
        <v>0</v>
      </c>
      <c r="S73" s="897"/>
      <c r="T73" s="897"/>
      <c r="U73" s="897"/>
      <c r="V73" s="898"/>
      <c r="W73" s="238"/>
      <c r="X73" s="253" t="s">
        <v>70</v>
      </c>
      <c r="Y73" s="254">
        <f>ROUNDUP(1*C15,0)</f>
        <v>500000</v>
      </c>
      <c r="Z73" s="239"/>
      <c r="AA73" s="279"/>
      <c r="AB73" s="287">
        <f>5000000*C14</f>
        <v>125000000</v>
      </c>
      <c r="AC73" s="288">
        <v>0.04</v>
      </c>
      <c r="AD73" s="287">
        <f t="shared" ref="AD73:AD78" si="11">(AB73-AB72)*AC73+AD72</f>
        <v>5250000</v>
      </c>
      <c r="AE73" s="287">
        <f>IF((AD70&gt;AB72)*AND(AD70&lt;=AB73),AB72,0)</f>
        <v>0</v>
      </c>
      <c r="AF73" s="287">
        <f t="shared" ref="AF73:AF79" si="12">IF(AE73=AB72,AD72,0)</f>
        <v>0</v>
      </c>
      <c r="AG73" s="287">
        <f>IF(AE73=AB72,AD70-AB72,0)</f>
        <v>0</v>
      </c>
      <c r="AH73" s="288">
        <f t="shared" ref="AH73:AH79" si="13">IF(AE73=AB72,AC73,0)</f>
        <v>0</v>
      </c>
      <c r="AI73" s="287">
        <f t="shared" si="9"/>
        <v>0</v>
      </c>
      <c r="AJ73" s="287">
        <f t="shared" si="10"/>
        <v>0</v>
      </c>
      <c r="AK73" s="233"/>
    </row>
    <row r="74" spans="1:55" x14ac:dyDescent="0.2">
      <c r="A74" s="236"/>
      <c r="B74" s="258" t="s">
        <v>25</v>
      </c>
      <c r="C74" s="226"/>
      <c r="D74" s="1006">
        <f>AE45</f>
        <v>0</v>
      </c>
      <c r="E74" s="1006"/>
      <c r="F74" s="1006"/>
      <c r="G74" s="1006"/>
      <c r="H74" s="295" t="s">
        <v>74</v>
      </c>
      <c r="I74" s="226"/>
      <c r="J74" s="295"/>
      <c r="K74" s="339"/>
      <c r="L74" s="999">
        <f>AF45</f>
        <v>0</v>
      </c>
      <c r="M74" s="999"/>
      <c r="N74" s="999"/>
      <c r="O74" s="999"/>
      <c r="P74" s="339"/>
      <c r="Q74" s="354"/>
      <c r="R74" s="339"/>
      <c r="S74" s="339"/>
      <c r="T74" s="339"/>
      <c r="U74" s="339"/>
      <c r="V74" s="355"/>
      <c r="W74" s="238"/>
      <c r="X74" s="253" t="s">
        <v>72</v>
      </c>
      <c r="Y74" s="254">
        <f>ROUNDUP(1.2*C15,0)</f>
        <v>600000</v>
      </c>
      <c r="Z74" s="239"/>
      <c r="AA74" s="279"/>
      <c r="AB74" s="287">
        <f>10000000*C14</f>
        <v>250000000</v>
      </c>
      <c r="AC74" s="288">
        <v>0.03</v>
      </c>
      <c r="AD74" s="287">
        <f t="shared" si="11"/>
        <v>9000000</v>
      </c>
      <c r="AE74" s="287">
        <f>IF((AD70&gt;AB73)*AND(AD70&lt;=AB74),AB73,0)</f>
        <v>0</v>
      </c>
      <c r="AF74" s="287">
        <f t="shared" si="12"/>
        <v>0</v>
      </c>
      <c r="AG74" s="287">
        <f>IF(AE74=AB73,AD70-AB73,0)</f>
        <v>0</v>
      </c>
      <c r="AH74" s="288">
        <f t="shared" si="13"/>
        <v>0</v>
      </c>
      <c r="AI74" s="287">
        <f t="shared" si="9"/>
        <v>0</v>
      </c>
      <c r="AJ74" s="287">
        <f t="shared" si="10"/>
        <v>0</v>
      </c>
      <c r="AK74" s="233"/>
    </row>
    <row r="75" spans="1:55" ht="13.5" thickBot="1" x14ac:dyDescent="0.25">
      <c r="A75" s="236"/>
      <c r="B75" s="323" t="s">
        <v>75</v>
      </c>
      <c r="C75" s="263"/>
      <c r="D75" s="1000">
        <f>AH45</f>
        <v>8.5000000000000006E-2</v>
      </c>
      <c r="E75" s="1000"/>
      <c r="F75" s="1000"/>
      <c r="G75" s="1000"/>
      <c r="H75" s="301" t="s">
        <v>76</v>
      </c>
      <c r="I75" s="263"/>
      <c r="J75" s="301"/>
      <c r="K75" s="356"/>
      <c r="L75" s="1039">
        <f>AG45</f>
        <v>0</v>
      </c>
      <c r="M75" s="1039"/>
      <c r="N75" s="1039"/>
      <c r="O75" s="1039"/>
      <c r="P75" s="356"/>
      <c r="Q75" s="357" t="s">
        <v>77</v>
      </c>
      <c r="R75" s="894">
        <f>AI45</f>
        <v>0</v>
      </c>
      <c r="S75" s="894"/>
      <c r="T75" s="894"/>
      <c r="U75" s="894"/>
      <c r="V75" s="895"/>
      <c r="W75" s="238"/>
      <c r="X75" s="258" t="s">
        <v>73</v>
      </c>
      <c r="Y75" s="259">
        <f>ROUNDUP(2*C15,0)</f>
        <v>1000000</v>
      </c>
      <c r="Z75" s="239"/>
      <c r="AA75" s="279"/>
      <c r="AB75" s="287">
        <f>20000000*C14</f>
        <v>500000000</v>
      </c>
      <c r="AC75" s="288">
        <v>2.5000000000000001E-2</v>
      </c>
      <c r="AD75" s="287">
        <f t="shared" si="11"/>
        <v>15250000</v>
      </c>
      <c r="AE75" s="287">
        <f>IF((AD70&gt;AB74)*AND(AD70&lt;=AB75),AB74,0)</f>
        <v>0</v>
      </c>
      <c r="AF75" s="287">
        <f t="shared" si="12"/>
        <v>0</v>
      </c>
      <c r="AG75" s="287">
        <f>IF(AE75=AB74,AD70-AB74,0)</f>
        <v>0</v>
      </c>
      <c r="AH75" s="288">
        <f t="shared" si="13"/>
        <v>0</v>
      </c>
      <c r="AI75" s="287">
        <f t="shared" si="9"/>
        <v>0</v>
      </c>
      <c r="AJ75" s="287">
        <f t="shared" si="10"/>
        <v>0</v>
      </c>
      <c r="AK75" s="233"/>
    </row>
    <row r="76" spans="1:55" ht="13.5" thickBot="1" x14ac:dyDescent="0.25">
      <c r="A76" s="234">
        <v>9</v>
      </c>
      <c r="B76" s="358" t="s">
        <v>693</v>
      </c>
      <c r="C76" s="359"/>
      <c r="D76" s="360"/>
      <c r="E76" s="359"/>
      <c r="F76" s="359"/>
      <c r="G76" s="359"/>
      <c r="H76" s="360"/>
      <c r="I76" s="361"/>
      <c r="J76" s="362"/>
      <c r="K76" s="363"/>
      <c r="L76" s="363"/>
      <c r="M76" s="360"/>
      <c r="N76" s="363"/>
      <c r="O76" s="363"/>
      <c r="P76" s="363"/>
      <c r="Q76" s="360"/>
      <c r="R76" s="363"/>
      <c r="S76" s="363"/>
      <c r="T76" s="363"/>
      <c r="U76" s="363"/>
      <c r="V76" s="364"/>
      <c r="W76" s="238"/>
      <c r="X76" s="890" t="s">
        <v>691</v>
      </c>
      <c r="Y76" s="891"/>
      <c r="Z76" s="239"/>
      <c r="AA76" s="279"/>
      <c r="AB76" s="287">
        <f>40000000*C14</f>
        <v>1000000000</v>
      </c>
      <c r="AC76" s="288">
        <v>0.02</v>
      </c>
      <c r="AD76" s="287">
        <f t="shared" si="11"/>
        <v>25250000</v>
      </c>
      <c r="AE76" s="287">
        <f>IF((AD70&gt;AB75)*AND(AD70&lt;=AB76),AB75,0)</f>
        <v>0</v>
      </c>
      <c r="AF76" s="287">
        <f t="shared" si="12"/>
        <v>0</v>
      </c>
      <c r="AG76" s="287">
        <f>IF(AE76=AB75,AD70-AB75,0)</f>
        <v>0</v>
      </c>
      <c r="AH76" s="288">
        <f t="shared" si="13"/>
        <v>0</v>
      </c>
      <c r="AI76" s="287">
        <f t="shared" si="9"/>
        <v>0</v>
      </c>
      <c r="AJ76" s="287">
        <f t="shared" si="10"/>
        <v>0</v>
      </c>
      <c r="AK76" s="233"/>
    </row>
    <row r="77" spans="1:55" ht="13.5" thickBot="1" x14ac:dyDescent="0.25">
      <c r="A77" s="236"/>
      <c r="B77" s="350" t="s">
        <v>63</v>
      </c>
      <c r="C77" s="226"/>
      <c r="D77" s="232"/>
      <c r="E77" s="226"/>
      <c r="F77" s="991" t="s">
        <v>417</v>
      </c>
      <c r="G77" s="991"/>
      <c r="H77" s="991"/>
      <c r="I77" s="991"/>
      <c r="J77" s="991"/>
      <c r="K77" s="991"/>
      <c r="L77" s="991"/>
      <c r="M77" s="991"/>
      <c r="N77" s="991"/>
      <c r="O77" s="991"/>
      <c r="P77" s="991"/>
      <c r="Q77" s="991"/>
      <c r="R77" s="991"/>
      <c r="S77" s="991"/>
      <c r="T77" s="992"/>
      <c r="U77" s="905" t="s">
        <v>767</v>
      </c>
      <c r="V77" s="906"/>
      <c r="W77" s="365"/>
      <c r="X77" s="253" t="s">
        <v>692</v>
      </c>
      <c r="Y77" s="254">
        <f>ROUNDUP(0.7*C15,0)</f>
        <v>350000</v>
      </c>
      <c r="Z77" s="239"/>
      <c r="AA77" s="279"/>
      <c r="AB77" s="287">
        <f>80000000*C14</f>
        <v>2000000000</v>
      </c>
      <c r="AC77" s="288">
        <v>1.4999999999999999E-2</v>
      </c>
      <c r="AD77" s="366">
        <f>(AB77-AB76)*AC77+AD76</f>
        <v>40250000</v>
      </c>
      <c r="AE77" s="287">
        <f>IF((AD70&gt;AB76)*AND(AD70&lt;=AB77),AB76,0)</f>
        <v>0</v>
      </c>
      <c r="AF77" s="292">
        <f>IF(AE77=AB76,AD76,0)</f>
        <v>0</v>
      </c>
      <c r="AG77" s="292">
        <f>IF(AE77=AB76,AD70-AB76,0)</f>
        <v>0</v>
      </c>
      <c r="AH77" s="293">
        <f>IF(AE77=AB76,AC77,0)</f>
        <v>0</v>
      </c>
      <c r="AI77" s="292">
        <f t="shared" si="9"/>
        <v>0</v>
      </c>
      <c r="AJ77" s="292">
        <f t="shared" si="10"/>
        <v>0</v>
      </c>
      <c r="AK77" s="233"/>
    </row>
    <row r="78" spans="1:55" ht="13.5" thickBot="1" x14ac:dyDescent="0.25">
      <c r="A78" s="236"/>
      <c r="B78" s="258" t="s">
        <v>734</v>
      </c>
      <c r="C78" s="226"/>
      <c r="D78" s="993"/>
      <c r="E78" s="994"/>
      <c r="F78" s="994"/>
      <c r="G78" s="995"/>
      <c r="H78" s="295" t="s">
        <v>610</v>
      </c>
      <c r="I78" s="226"/>
      <c r="J78" s="232"/>
      <c r="K78" s="232"/>
      <c r="L78" s="907"/>
      <c r="M78" s="908"/>
      <c r="N78" s="908"/>
      <c r="O78" s="909"/>
      <c r="P78" s="295" t="s">
        <v>434</v>
      </c>
      <c r="Q78" s="339"/>
      <c r="R78" s="892">
        <f>+D78*L78</f>
        <v>0</v>
      </c>
      <c r="S78" s="892"/>
      <c r="T78" s="892"/>
      <c r="U78" s="892"/>
      <c r="V78" s="892"/>
      <c r="W78" s="367"/>
      <c r="X78" s="253" t="s">
        <v>78</v>
      </c>
      <c r="Y78" s="254">
        <f>ROUNDUP(0.8*C15,0)</f>
        <v>400000</v>
      </c>
      <c r="Z78" s="239"/>
      <c r="AA78" s="279"/>
      <c r="AB78" s="287">
        <f>160000000*C14</f>
        <v>4000000000</v>
      </c>
      <c r="AC78" s="288">
        <v>0.01</v>
      </c>
      <c r="AD78" s="287">
        <f t="shared" si="11"/>
        <v>60250000</v>
      </c>
      <c r="AE78" s="287">
        <f>IF((AD70&gt;AB77)*AND(AD70&lt;=AB78),AB77,0)</f>
        <v>0</v>
      </c>
      <c r="AF78" s="287">
        <f t="shared" si="12"/>
        <v>0</v>
      </c>
      <c r="AG78" s="287">
        <f>IF(AE78=AB77,AD70-AB77,0)</f>
        <v>0</v>
      </c>
      <c r="AH78" s="288">
        <f t="shared" si="13"/>
        <v>0</v>
      </c>
      <c r="AI78" s="287">
        <f>AG78*AH78</f>
        <v>0</v>
      </c>
      <c r="AJ78" s="287">
        <f>AI78+AF78</f>
        <v>0</v>
      </c>
      <c r="AK78" s="233"/>
    </row>
    <row r="79" spans="1:55" ht="13.5" thickBot="1" x14ac:dyDescent="0.25">
      <c r="A79" s="236"/>
      <c r="B79" s="258" t="s">
        <v>734</v>
      </c>
      <c r="C79" s="226"/>
      <c r="D79" s="983"/>
      <c r="E79" s="984"/>
      <c r="F79" s="984"/>
      <c r="G79" s="985"/>
      <c r="H79" s="295" t="s">
        <v>610</v>
      </c>
      <c r="I79" s="226"/>
      <c r="J79" s="232"/>
      <c r="K79" s="232"/>
      <c r="L79" s="916"/>
      <c r="M79" s="917"/>
      <c r="N79" s="917"/>
      <c r="O79" s="918"/>
      <c r="P79" s="295" t="s">
        <v>434</v>
      </c>
      <c r="Q79" s="339"/>
      <c r="R79" s="892">
        <f>+D79*L79</f>
        <v>0</v>
      </c>
      <c r="S79" s="892"/>
      <c r="T79" s="892"/>
      <c r="U79" s="892"/>
      <c r="V79" s="893"/>
      <c r="W79" s="238"/>
      <c r="X79" s="258" t="s">
        <v>79</v>
      </c>
      <c r="Y79" s="259">
        <f>ROUNDUP(1.2*C15,0)</f>
        <v>600000</v>
      </c>
      <c r="Z79" s="239"/>
      <c r="AA79" s="279"/>
      <c r="AB79" s="287">
        <f>160000001*C14</f>
        <v>4000000025</v>
      </c>
      <c r="AC79" s="288">
        <v>5.0000000000000001E-3</v>
      </c>
      <c r="AD79" s="291"/>
      <c r="AE79" s="292">
        <f>IF(AD70&gt;AB78,AB78,0)</f>
        <v>0</v>
      </c>
      <c r="AF79" s="292">
        <f t="shared" si="12"/>
        <v>0</v>
      </c>
      <c r="AG79" s="292">
        <f>IF(AE79=AB78,AD70-AB78,0)</f>
        <v>0</v>
      </c>
      <c r="AH79" s="293">
        <f t="shared" si="13"/>
        <v>0</v>
      </c>
      <c r="AI79" s="292">
        <f>AG79*AH79</f>
        <v>0</v>
      </c>
      <c r="AJ79" s="292">
        <f>AI79+AF79</f>
        <v>0</v>
      </c>
      <c r="AK79" s="233"/>
    </row>
    <row r="80" spans="1:55" ht="13.5" thickBot="1" x14ac:dyDescent="0.25">
      <c r="A80" s="236"/>
      <c r="B80" s="1016" t="s">
        <v>734</v>
      </c>
      <c r="C80" s="1017"/>
      <c r="D80" s="983"/>
      <c r="E80" s="984"/>
      <c r="F80" s="984"/>
      <c r="G80" s="985"/>
      <c r="H80" s="295" t="s">
        <v>610</v>
      </c>
      <c r="I80" s="226"/>
      <c r="J80" s="232"/>
      <c r="K80" s="232"/>
      <c r="L80" s="962"/>
      <c r="M80" s="963"/>
      <c r="N80" s="963"/>
      <c r="O80" s="964"/>
      <c r="P80" s="295" t="s">
        <v>434</v>
      </c>
      <c r="Q80" s="339"/>
      <c r="R80" s="892">
        <f>+D80*L80</f>
        <v>0</v>
      </c>
      <c r="S80" s="892"/>
      <c r="T80" s="892"/>
      <c r="U80" s="892"/>
      <c r="V80" s="893"/>
      <c r="W80" s="238"/>
      <c r="X80" s="890" t="s">
        <v>80</v>
      </c>
      <c r="Y80" s="891"/>
      <c r="Z80" s="239"/>
      <c r="AA80" s="279"/>
      <c r="AB80" s="372"/>
      <c r="AC80" s="373"/>
      <c r="AD80" s="374"/>
      <c r="AE80" s="375"/>
      <c r="AF80" s="376"/>
      <c r="AG80" s="376"/>
      <c r="AH80" s="377"/>
      <c r="AI80" s="376"/>
      <c r="AJ80" s="378"/>
      <c r="AK80" s="233"/>
    </row>
    <row r="81" spans="1:37" x14ac:dyDescent="0.2">
      <c r="A81" s="236"/>
      <c r="B81" s="258" t="s">
        <v>733</v>
      </c>
      <c r="C81" s="226"/>
      <c r="D81" s="983"/>
      <c r="E81" s="984"/>
      <c r="F81" s="984"/>
      <c r="G81" s="985"/>
      <c r="H81" s="295" t="s">
        <v>611</v>
      </c>
      <c r="I81" s="226"/>
      <c r="J81" s="232"/>
      <c r="K81" s="232"/>
      <c r="L81" s="962"/>
      <c r="M81" s="963"/>
      <c r="N81" s="963"/>
      <c r="O81" s="964"/>
      <c r="P81" s="295" t="s">
        <v>434</v>
      </c>
      <c r="Q81" s="339"/>
      <c r="R81" s="892">
        <f>IF(D71="SI",+D81*L81*'Acta Est. Obra'!F48,+D81*L81)</f>
        <v>0</v>
      </c>
      <c r="S81" s="892"/>
      <c r="T81" s="892"/>
      <c r="U81" s="892"/>
      <c r="V81" s="893"/>
      <c r="W81" s="238"/>
      <c r="X81" s="368" t="s">
        <v>81</v>
      </c>
      <c r="Y81" s="369">
        <f>ROUNDUP(0.7*C15,0)</f>
        <v>350000</v>
      </c>
      <c r="Z81" s="239"/>
      <c r="AA81" s="279"/>
      <c r="AB81" s="372"/>
      <c r="AC81" s="373"/>
      <c r="AD81" s="374"/>
      <c r="AE81" s="375"/>
      <c r="AF81" s="376"/>
      <c r="AG81" s="376"/>
      <c r="AH81" s="377"/>
      <c r="AI81" s="376"/>
      <c r="AJ81" s="378"/>
      <c r="AK81" s="233"/>
    </row>
    <row r="82" spans="1:37" ht="13.5" thickBot="1" x14ac:dyDescent="0.25">
      <c r="A82" s="236"/>
      <c r="B82" s="258" t="s">
        <v>733</v>
      </c>
      <c r="C82" s="226"/>
      <c r="D82" s="1003"/>
      <c r="E82" s="1004"/>
      <c r="F82" s="1004"/>
      <c r="G82" s="1005"/>
      <c r="H82" s="295" t="s">
        <v>611</v>
      </c>
      <c r="I82" s="226"/>
      <c r="J82" s="232"/>
      <c r="K82" s="232"/>
      <c r="L82" s="916"/>
      <c r="M82" s="917"/>
      <c r="N82" s="917"/>
      <c r="O82" s="918"/>
      <c r="P82" s="295" t="s">
        <v>434</v>
      </c>
      <c r="Q82" s="339"/>
      <c r="R82" s="892">
        <f>IF(D71="SI",+D82*L82*'Acta Est. Obra'!F48,+D82*L82)</f>
        <v>0</v>
      </c>
      <c r="S82" s="892"/>
      <c r="T82" s="892"/>
      <c r="U82" s="892"/>
      <c r="V82" s="893"/>
      <c r="W82" s="238"/>
      <c r="X82" s="253" t="s">
        <v>82</v>
      </c>
      <c r="Y82" s="370">
        <f>ROUNDUP(1*C15,0)</f>
        <v>500000</v>
      </c>
      <c r="Z82" s="239"/>
      <c r="AA82" s="279"/>
      <c r="AB82" s="372"/>
      <c r="AC82" s="373"/>
      <c r="AD82" s="374"/>
      <c r="AE82" s="375"/>
      <c r="AF82" s="376"/>
      <c r="AG82" s="376"/>
      <c r="AH82" s="377"/>
      <c r="AI82" s="376"/>
      <c r="AJ82" s="378"/>
      <c r="AK82" s="233"/>
    </row>
    <row r="83" spans="1:37" ht="13.5" thickBot="1" x14ac:dyDescent="0.25">
      <c r="A83" s="236"/>
      <c r="B83" s="258" t="s">
        <v>732</v>
      </c>
      <c r="C83" s="226"/>
      <c r="D83" s="1003"/>
      <c r="E83" s="1004"/>
      <c r="F83" s="1004"/>
      <c r="G83" s="1005"/>
      <c r="H83" s="295" t="s">
        <v>611</v>
      </c>
      <c r="I83" s="226"/>
      <c r="J83" s="232"/>
      <c r="K83" s="232"/>
      <c r="L83" s="916"/>
      <c r="M83" s="917"/>
      <c r="N83" s="917"/>
      <c r="O83" s="918"/>
      <c r="P83" s="295" t="s">
        <v>434</v>
      </c>
      <c r="Q83" s="339"/>
      <c r="R83" s="892">
        <f>IF(D71="SI",+D83*L83*'Acta Est. Obra'!F48,+D83*L83)</f>
        <v>0</v>
      </c>
      <c r="S83" s="892"/>
      <c r="T83" s="892"/>
      <c r="U83" s="892"/>
      <c r="V83" s="893"/>
      <c r="W83" s="238"/>
      <c r="X83" s="253" t="s">
        <v>83</v>
      </c>
      <c r="Y83" s="370">
        <f>ROUNDUP(1*C15,0)</f>
        <v>500000</v>
      </c>
      <c r="Z83" s="239"/>
      <c r="AA83" s="279"/>
      <c r="AB83" s="296"/>
      <c r="AC83" s="296"/>
      <c r="AD83" s="296"/>
      <c r="AE83" s="297">
        <f t="shared" ref="AE83:AJ83" si="14">SUM(AE72:AE79)</f>
        <v>0</v>
      </c>
      <c r="AF83" s="298">
        <f t="shared" si="14"/>
        <v>0</v>
      </c>
      <c r="AG83" s="298">
        <f t="shared" si="14"/>
        <v>0</v>
      </c>
      <c r="AH83" s="299">
        <f t="shared" si="14"/>
        <v>0.05</v>
      </c>
      <c r="AI83" s="298">
        <f t="shared" si="14"/>
        <v>0</v>
      </c>
      <c r="AJ83" s="300">
        <f t="shared" si="14"/>
        <v>0</v>
      </c>
      <c r="AK83" s="233"/>
    </row>
    <row r="84" spans="1:37" ht="13.5" thickBot="1" x14ac:dyDescent="0.25">
      <c r="A84" s="236"/>
      <c r="B84" s="258" t="s">
        <v>732</v>
      </c>
      <c r="C84" s="226"/>
      <c r="D84" s="919"/>
      <c r="E84" s="920"/>
      <c r="F84" s="920"/>
      <c r="G84" s="921"/>
      <c r="H84" s="295" t="s">
        <v>502</v>
      </c>
      <c r="I84" s="226"/>
      <c r="J84" s="232"/>
      <c r="K84" s="232"/>
      <c r="L84" s="1056"/>
      <c r="M84" s="1057"/>
      <c r="N84" s="1057"/>
      <c r="O84" s="1058"/>
      <c r="P84" s="295" t="s">
        <v>434</v>
      </c>
      <c r="Q84" s="339"/>
      <c r="R84" s="892">
        <f>IF(D71="SI",+D84*L84*'Acta Est. Obra'!F48,+D84*L84)</f>
        <v>0</v>
      </c>
      <c r="S84" s="892"/>
      <c r="T84" s="892"/>
      <c r="U84" s="892"/>
      <c r="V84" s="893"/>
      <c r="W84" s="238"/>
      <c r="X84" s="379" t="s">
        <v>84</v>
      </c>
      <c r="Y84" s="370"/>
      <c r="Z84" s="239"/>
      <c r="AA84" s="279"/>
      <c r="AB84" s="279"/>
      <c r="AC84" s="279"/>
      <c r="AD84" s="279"/>
      <c r="AE84" s="382" t="s">
        <v>57</v>
      </c>
      <c r="AF84" s="382" t="s">
        <v>58</v>
      </c>
      <c r="AG84" s="279"/>
      <c r="AH84" s="279"/>
      <c r="AI84" s="279"/>
      <c r="AJ84" s="279"/>
      <c r="AK84" s="233"/>
    </row>
    <row r="85" spans="1:37" ht="13.5" thickBot="1" x14ac:dyDescent="0.25">
      <c r="A85" s="236"/>
      <c r="B85" s="258" t="s">
        <v>416</v>
      </c>
      <c r="C85" s="383"/>
      <c r="D85" s="384"/>
      <c r="E85" s="226"/>
      <c r="F85" s="383"/>
      <c r="G85" s="383"/>
      <c r="H85" s="383"/>
      <c r="I85" s="383"/>
      <c r="J85" s="818">
        <f>D78+D79+D80+D81+D82+D83+D84</f>
        <v>0</v>
      </c>
      <c r="K85" s="385">
        <f>IF(J85=0,0,IF(U77="SI",S14,S15))</f>
        <v>0</v>
      </c>
      <c r="L85" s="965"/>
      <c r="M85" s="966"/>
      <c r="N85" s="966"/>
      <c r="O85" s="967"/>
      <c r="P85" s="226"/>
      <c r="Q85" s="226"/>
      <c r="R85" s="892">
        <f>L85</f>
        <v>0</v>
      </c>
      <c r="S85" s="892"/>
      <c r="T85" s="892"/>
      <c r="U85" s="892"/>
      <c r="V85" s="893"/>
      <c r="W85" s="238"/>
      <c r="X85" s="253" t="s">
        <v>85</v>
      </c>
      <c r="Y85" s="370">
        <f>ROUNDUP(0.025*C15,0)</f>
        <v>12500</v>
      </c>
      <c r="Z85" s="239"/>
      <c r="AA85" s="279"/>
      <c r="AB85" s="279">
        <f>IF(D78=81,Y72,0)</f>
        <v>0</v>
      </c>
      <c r="AC85" s="279"/>
      <c r="AD85" s="279"/>
      <c r="AE85" s="279"/>
      <c r="AF85" s="279"/>
      <c r="AG85" s="279"/>
      <c r="AH85" s="279"/>
      <c r="AI85" s="279"/>
      <c r="AJ85" s="279"/>
      <c r="AK85" s="233"/>
    </row>
    <row r="86" spans="1:37" ht="13.5" thickBot="1" x14ac:dyDescent="0.25">
      <c r="A86" s="236"/>
      <c r="B86" s="350" t="s">
        <v>694</v>
      </c>
      <c r="C86" s="226"/>
      <c r="D86" s="232"/>
      <c r="E86" s="226"/>
      <c r="F86" s="226"/>
      <c r="G86" s="1072" t="str">
        <f>IF(L86=K85,"Mínimo",".")</f>
        <v>Mínimo</v>
      </c>
      <c r="H86" s="1072"/>
      <c r="I86" s="1065">
        <f>IF(K85=0,0,IF(U77&lt;=70,S14,S15))</f>
        <v>0</v>
      </c>
      <c r="J86" s="1065"/>
      <c r="K86" s="1066"/>
      <c r="L86" s="968">
        <f>IF(AJ52&gt;K85,AJ52,K85)</f>
        <v>0</v>
      </c>
      <c r="M86" s="969"/>
      <c r="N86" s="969"/>
      <c r="O86" s="970"/>
      <c r="P86" s="352" t="s">
        <v>71</v>
      </c>
      <c r="Q86" s="226"/>
      <c r="R86" s="896">
        <f>SUM(R78:R85)</f>
        <v>0</v>
      </c>
      <c r="S86" s="897"/>
      <c r="T86" s="897"/>
      <c r="U86" s="897"/>
      <c r="V86" s="898"/>
      <c r="W86" s="238"/>
      <c r="X86" s="253" t="s">
        <v>86</v>
      </c>
      <c r="Y86" s="370">
        <f>ROUNDUP(0.3*C15,0)</f>
        <v>150000</v>
      </c>
      <c r="Z86" s="239"/>
      <c r="AA86" s="279"/>
      <c r="AB86" s="279">
        <f>IF(D78=82,Y73,0)</f>
        <v>0</v>
      </c>
      <c r="AC86" s="279"/>
      <c r="AD86" s="279"/>
      <c r="AE86" s="279"/>
      <c r="AF86" s="279"/>
      <c r="AG86" s="279"/>
      <c r="AH86" s="279"/>
      <c r="AI86" s="279"/>
      <c r="AJ86" s="279"/>
      <c r="AK86" s="233"/>
    </row>
    <row r="87" spans="1:37" ht="13.5" thickBot="1" x14ac:dyDescent="0.25">
      <c r="A87" s="236"/>
      <c r="B87" s="371" t="s">
        <v>25</v>
      </c>
      <c r="C87" s="226"/>
      <c r="D87" s="1006">
        <f>AE52</f>
        <v>0</v>
      </c>
      <c r="E87" s="1006"/>
      <c r="F87" s="1006"/>
      <c r="G87" s="1006"/>
      <c r="H87" s="384" t="s">
        <v>74</v>
      </c>
      <c r="I87" s="226"/>
      <c r="J87" s="295"/>
      <c r="K87" s="339"/>
      <c r="L87" s="1055">
        <f>AF52</f>
        <v>0</v>
      </c>
      <c r="M87" s="1055"/>
      <c r="N87" s="1055"/>
      <c r="O87" s="1055"/>
      <c r="P87" s="339"/>
      <c r="Q87" s="354"/>
      <c r="R87" s="339"/>
      <c r="S87" s="339"/>
      <c r="T87" s="339"/>
      <c r="U87" s="339"/>
      <c r="V87" s="355"/>
      <c r="W87" s="238"/>
      <c r="X87" s="380" t="s">
        <v>378</v>
      </c>
      <c r="Y87" s="381">
        <f>ROUNDUP(2.4*C15,0)</f>
        <v>1200000</v>
      </c>
      <c r="Z87" s="239"/>
      <c r="AA87" s="279"/>
      <c r="AB87" s="279">
        <f>IF(D78=83,Y74,0)</f>
        <v>0</v>
      </c>
      <c r="AC87" s="279"/>
      <c r="AD87" s="279"/>
      <c r="AE87" s="279"/>
      <c r="AF87" s="279"/>
      <c r="AG87" s="279"/>
      <c r="AH87" s="279"/>
      <c r="AI87" s="279"/>
      <c r="AJ87" s="279"/>
      <c r="AK87" s="233"/>
    </row>
    <row r="88" spans="1:37" ht="13.5" thickBot="1" x14ac:dyDescent="0.25">
      <c r="A88" s="236"/>
      <c r="B88" s="386" t="s">
        <v>75</v>
      </c>
      <c r="C88" s="226"/>
      <c r="D88" s="1064">
        <f>AH52</f>
        <v>1.2500000000000001E-2</v>
      </c>
      <c r="E88" s="1064"/>
      <c r="F88" s="1064"/>
      <c r="G88" s="1064"/>
      <c r="H88" s="295" t="s">
        <v>76</v>
      </c>
      <c r="I88" s="226"/>
      <c r="J88" s="295"/>
      <c r="K88" s="339"/>
      <c r="L88" s="972">
        <f>AG52</f>
        <v>0</v>
      </c>
      <c r="M88" s="972"/>
      <c r="N88" s="972"/>
      <c r="O88" s="972"/>
      <c r="P88" s="339"/>
      <c r="Q88" s="387" t="s">
        <v>77</v>
      </c>
      <c r="R88" s="971">
        <f>AI52</f>
        <v>0</v>
      </c>
      <c r="S88" s="971"/>
      <c r="T88" s="971"/>
      <c r="U88" s="971"/>
      <c r="V88" s="971"/>
      <c r="W88" s="238"/>
      <c r="X88" s="890" t="s">
        <v>88</v>
      </c>
      <c r="Y88" s="891"/>
      <c r="Z88" s="239"/>
      <c r="AA88" s="279"/>
      <c r="AB88" s="1025" t="s">
        <v>638</v>
      </c>
      <c r="AC88" s="1026"/>
      <c r="AD88" s="388" t="s">
        <v>245</v>
      </c>
      <c r="AE88" s="389">
        <f>H129</f>
        <v>0</v>
      </c>
      <c r="AF88" s="390"/>
      <c r="AG88" s="279"/>
      <c r="AH88" s="279"/>
      <c r="AI88" s="279"/>
      <c r="AJ88" s="279"/>
      <c r="AK88" s="233"/>
    </row>
    <row r="89" spans="1:37" ht="13.5" thickBot="1" x14ac:dyDescent="0.25">
      <c r="A89" s="236"/>
      <c r="B89" s="244"/>
      <c r="C89" s="226"/>
      <c r="D89" s="232"/>
      <c r="E89" s="226"/>
      <c r="F89" s="226"/>
      <c r="G89" s="226"/>
      <c r="H89" s="232"/>
      <c r="I89" s="391"/>
      <c r="J89" s="295"/>
      <c r="K89" s="339"/>
      <c r="L89" s="339" t="s">
        <v>28</v>
      </c>
      <c r="M89" s="232"/>
      <c r="N89" s="339"/>
      <c r="O89" s="339"/>
      <c r="P89" s="339"/>
      <c r="Q89" s="232"/>
      <c r="R89" s="339"/>
      <c r="S89" s="339"/>
      <c r="T89" s="339"/>
      <c r="U89" s="339"/>
      <c r="V89" s="355"/>
      <c r="W89" s="238"/>
      <c r="X89" s="253" t="s">
        <v>379</v>
      </c>
      <c r="Y89" s="370">
        <f>ROUNDUP(0.025*C15,0)</f>
        <v>12500</v>
      </c>
      <c r="Z89" s="239"/>
      <c r="AA89" s="279"/>
      <c r="AB89" s="392" t="s">
        <v>246</v>
      </c>
      <c r="AC89" s="393">
        <f>ROUND(IF(AE88&lt;=AC92,AF92,IF(AE88&lt;=AE93,AF93,AE88*2.5%)),2)</f>
        <v>374</v>
      </c>
      <c r="AD89" s="394"/>
      <c r="AE89" s="394"/>
      <c r="AF89" s="395"/>
      <c r="AG89" s="279"/>
      <c r="AH89" s="279"/>
      <c r="AI89" s="279"/>
      <c r="AJ89" s="279"/>
      <c r="AK89" s="233"/>
    </row>
    <row r="90" spans="1:37" ht="13.5" thickBot="1" x14ac:dyDescent="0.25">
      <c r="A90" s="236"/>
      <c r="B90" s="396" t="s">
        <v>695</v>
      </c>
      <c r="C90" s="226"/>
      <c r="D90" s="343"/>
      <c r="E90" s="226"/>
      <c r="F90" s="226"/>
      <c r="G90" s="226"/>
      <c r="H90" s="232"/>
      <c r="I90" s="226"/>
      <c r="J90" s="295"/>
      <c r="K90" s="339"/>
      <c r="L90" s="959">
        <f>AJ60</f>
        <v>0</v>
      </c>
      <c r="M90" s="960"/>
      <c r="N90" s="960"/>
      <c r="O90" s="961"/>
      <c r="P90" s="339"/>
      <c r="Q90" s="232"/>
      <c r="R90" s="339"/>
      <c r="S90" s="339"/>
      <c r="T90" s="339"/>
      <c r="U90" s="339"/>
      <c r="V90" s="248"/>
      <c r="W90" s="238"/>
      <c r="X90" s="253" t="s">
        <v>89</v>
      </c>
      <c r="Y90" s="268"/>
      <c r="Z90" s="239"/>
      <c r="AA90" s="279"/>
      <c r="AB90" s="397"/>
      <c r="AC90" s="398"/>
      <c r="AD90" s="399"/>
      <c r="AE90" s="399"/>
      <c r="AF90" s="400"/>
      <c r="AG90" s="279"/>
      <c r="AH90" s="279"/>
      <c r="AI90" s="279"/>
      <c r="AJ90" s="279"/>
      <c r="AK90" s="233"/>
    </row>
    <row r="91" spans="1:37" x14ac:dyDescent="0.2">
      <c r="A91" s="236"/>
      <c r="B91" s="371" t="s">
        <v>25</v>
      </c>
      <c r="C91" s="226"/>
      <c r="D91" s="1006">
        <f>AE60</f>
        <v>0</v>
      </c>
      <c r="E91" s="1006"/>
      <c r="F91" s="1006"/>
      <c r="G91" s="1006"/>
      <c r="H91" s="295" t="s">
        <v>74</v>
      </c>
      <c r="I91" s="226"/>
      <c r="J91" s="295"/>
      <c r="K91" s="339"/>
      <c r="L91" s="1055">
        <f>AF60</f>
        <v>0</v>
      </c>
      <c r="M91" s="1055"/>
      <c r="N91" s="1055"/>
      <c r="O91" s="1055"/>
      <c r="P91" s="339"/>
      <c r="Q91" s="232"/>
      <c r="R91" s="339"/>
      <c r="S91" s="339"/>
      <c r="T91" s="339"/>
      <c r="U91" s="339"/>
      <c r="V91" s="248"/>
      <c r="W91" s="238"/>
      <c r="X91" s="379" t="s">
        <v>90</v>
      </c>
      <c r="Y91" s="370"/>
      <c r="Z91" s="239"/>
      <c r="AA91" s="279"/>
      <c r="AB91" s="401"/>
      <c r="AC91" s="402"/>
      <c r="AD91" s="403"/>
      <c r="AE91" s="404"/>
      <c r="AF91" s="405"/>
      <c r="AG91" s="279"/>
      <c r="AH91" s="279"/>
      <c r="AI91" s="279"/>
      <c r="AJ91" s="279"/>
      <c r="AK91" s="233"/>
    </row>
    <row r="92" spans="1:37" x14ac:dyDescent="0.2">
      <c r="A92" s="236"/>
      <c r="B92" s="386" t="s">
        <v>75</v>
      </c>
      <c r="C92" s="226"/>
      <c r="D92" s="1064">
        <f>AH60</f>
        <v>8.5000000000000006E-2</v>
      </c>
      <c r="E92" s="1064"/>
      <c r="F92" s="1064"/>
      <c r="G92" s="1064"/>
      <c r="H92" s="295" t="s">
        <v>76</v>
      </c>
      <c r="I92" s="226"/>
      <c r="J92" s="295"/>
      <c r="K92" s="339"/>
      <c r="L92" s="972">
        <f>AG60</f>
        <v>0</v>
      </c>
      <c r="M92" s="972"/>
      <c r="N92" s="972"/>
      <c r="O92" s="972"/>
      <c r="P92" s="339"/>
      <c r="Q92" s="387" t="s">
        <v>77</v>
      </c>
      <c r="R92" s="903">
        <f>AI60</f>
        <v>0</v>
      </c>
      <c r="S92" s="903"/>
      <c r="T92" s="903"/>
      <c r="U92" s="903"/>
      <c r="V92" s="904"/>
      <c r="W92" s="238"/>
      <c r="X92" s="253" t="s">
        <v>91</v>
      </c>
      <c r="Y92" s="254">
        <f>ROUNDUP(0.02*C15,0)</f>
        <v>10000</v>
      </c>
      <c r="Z92" s="239"/>
      <c r="AA92" s="279"/>
      <c r="AB92" s="406" t="s">
        <v>242</v>
      </c>
      <c r="AC92" s="407">
        <v>6103</v>
      </c>
      <c r="AD92" s="408"/>
      <c r="AE92" s="409"/>
      <c r="AF92" s="410">
        <v>374</v>
      </c>
      <c r="AG92" s="279"/>
      <c r="AH92" s="279"/>
      <c r="AI92" s="279"/>
      <c r="AJ92" s="279"/>
      <c r="AK92" s="233"/>
    </row>
    <row r="93" spans="1:37" ht="13.5" thickBot="1" x14ac:dyDescent="0.25">
      <c r="A93" s="236"/>
      <c r="B93" s="262"/>
      <c r="C93" s="263"/>
      <c r="D93" s="411"/>
      <c r="E93" s="263"/>
      <c r="F93" s="263"/>
      <c r="G93" s="263"/>
      <c r="H93" s="411"/>
      <c r="I93" s="412"/>
      <c r="J93" s="301"/>
      <c r="K93" s="356"/>
      <c r="L93" s="356"/>
      <c r="M93" s="324"/>
      <c r="N93" s="356"/>
      <c r="O93" s="356"/>
      <c r="P93" s="356"/>
      <c r="Q93" s="411"/>
      <c r="R93" s="356"/>
      <c r="S93" s="356"/>
      <c r="T93" s="356"/>
      <c r="U93" s="356"/>
      <c r="V93" s="413"/>
      <c r="W93" s="238"/>
      <c r="X93" s="253" t="s">
        <v>92</v>
      </c>
      <c r="Y93" s="370">
        <f>ROUNDUP(0.08*C15,0)</f>
        <v>40000</v>
      </c>
      <c r="Z93" s="239"/>
      <c r="AA93" s="279"/>
      <c r="AB93" s="401" t="s">
        <v>191</v>
      </c>
      <c r="AC93" s="414">
        <v>6103.01</v>
      </c>
      <c r="AD93" s="403" t="s">
        <v>243</v>
      </c>
      <c r="AE93" s="404">
        <v>27718</v>
      </c>
      <c r="AF93" s="415">
        <v>692</v>
      </c>
      <c r="AG93" s="279"/>
      <c r="AH93" s="279"/>
      <c r="AI93" s="279"/>
      <c r="AJ93" s="279"/>
      <c r="AK93" s="233"/>
    </row>
    <row r="94" spans="1:37" ht="13.5" thickBot="1" x14ac:dyDescent="0.25">
      <c r="A94" s="234">
        <v>10</v>
      </c>
      <c r="B94" s="235" t="s">
        <v>632</v>
      </c>
      <c r="C94" s="236"/>
      <c r="D94" s="238"/>
      <c r="E94" s="236"/>
      <c r="F94" s="236"/>
      <c r="G94" s="236"/>
      <c r="H94" s="238"/>
      <c r="I94" s="416"/>
      <c r="J94" s="327"/>
      <c r="K94" s="328"/>
      <c r="L94" s="328"/>
      <c r="M94" s="238"/>
      <c r="N94" s="328"/>
      <c r="O94" s="328"/>
      <c r="P94" s="328"/>
      <c r="Q94" s="238"/>
      <c r="R94" s="328"/>
      <c r="S94" s="328"/>
      <c r="T94" s="328"/>
      <c r="U94" s="328"/>
      <c r="V94" s="328"/>
      <c r="W94" s="238"/>
      <c r="X94" s="253" t="s">
        <v>93</v>
      </c>
      <c r="Y94" s="370">
        <f>ROUNDUP(0.06*C15,0)</f>
        <v>30000</v>
      </c>
      <c r="Z94" s="239"/>
      <c r="AA94" s="279"/>
      <c r="AB94" s="401" t="s">
        <v>244</v>
      </c>
      <c r="AC94" s="414">
        <v>27718.01</v>
      </c>
      <c r="AD94" s="417">
        <v>2.5000000000000001E-2</v>
      </c>
      <c r="AE94" s="403"/>
      <c r="AF94" s="418"/>
      <c r="AG94" s="279"/>
      <c r="AH94" s="279"/>
      <c r="AI94" s="279"/>
      <c r="AJ94" s="279"/>
      <c r="AK94" s="233"/>
    </row>
    <row r="95" spans="1:37" ht="13.5" thickBot="1" x14ac:dyDescent="0.25">
      <c r="A95" s="236"/>
      <c r="B95" s="332" t="s">
        <v>63</v>
      </c>
      <c r="C95" s="241"/>
      <c r="D95" s="333"/>
      <c r="E95" s="241"/>
      <c r="F95" s="241"/>
      <c r="G95" s="241"/>
      <c r="H95" s="333"/>
      <c r="I95" s="334"/>
      <c r="J95" s="307"/>
      <c r="K95" s="335"/>
      <c r="L95" s="335"/>
      <c r="M95" s="333"/>
      <c r="N95" s="335"/>
      <c r="O95" s="335"/>
      <c r="P95" s="335"/>
      <c r="Q95" s="333"/>
      <c r="R95" s="335"/>
      <c r="S95" s="335"/>
      <c r="T95" s="335"/>
      <c r="U95" s="335"/>
      <c r="V95" s="419"/>
      <c r="W95" s="238"/>
      <c r="X95" s="253" t="s">
        <v>616</v>
      </c>
      <c r="Y95" s="268"/>
      <c r="Z95" s="239"/>
      <c r="AA95" s="279"/>
      <c r="AB95" s="420"/>
      <c r="AC95" s="421"/>
      <c r="AD95" s="422"/>
      <c r="AE95" s="422"/>
      <c r="AF95" s="423"/>
      <c r="AG95" s="279"/>
      <c r="AH95" s="279"/>
      <c r="AI95" s="279"/>
      <c r="AJ95" s="279"/>
      <c r="AK95" s="233"/>
    </row>
    <row r="96" spans="1:37" ht="13.5" thickBot="1" x14ac:dyDescent="0.25">
      <c r="A96" s="236"/>
      <c r="B96" s="258" t="s">
        <v>465</v>
      </c>
      <c r="C96" s="226"/>
      <c r="D96" s="1067"/>
      <c r="E96" s="1068"/>
      <c r="F96" s="1068"/>
      <c r="G96" s="1069"/>
      <c r="H96" s="295" t="s">
        <v>610</v>
      </c>
      <c r="I96" s="226"/>
      <c r="J96" s="295"/>
      <c r="K96" s="339"/>
      <c r="L96" s="1007"/>
      <c r="M96" s="1008"/>
      <c r="N96" s="1008"/>
      <c r="O96" s="1009"/>
      <c r="P96" s="295" t="s">
        <v>66</v>
      </c>
      <c r="Q96" s="226"/>
      <c r="R96" s="901">
        <f>+D96*L96</f>
        <v>0</v>
      </c>
      <c r="S96" s="901"/>
      <c r="T96" s="901"/>
      <c r="U96" s="901"/>
      <c r="V96" s="902"/>
      <c r="W96" s="238"/>
      <c r="X96" s="253" t="s">
        <v>617</v>
      </c>
      <c r="Y96" s="268"/>
      <c r="Z96" s="239"/>
      <c r="AA96" s="279"/>
      <c r="AB96" s="279"/>
      <c r="AC96" s="279"/>
      <c r="AD96" s="279"/>
      <c r="AE96" s="279"/>
      <c r="AF96" s="279"/>
      <c r="AG96" s="279"/>
      <c r="AH96" s="279"/>
      <c r="AI96" s="279"/>
      <c r="AJ96" s="279"/>
      <c r="AK96" s="233"/>
    </row>
    <row r="97" spans="1:55" ht="13.5" thickBot="1" x14ac:dyDescent="0.25">
      <c r="A97" s="236"/>
      <c r="B97" s="244"/>
      <c r="C97" s="226"/>
      <c r="D97" s="232"/>
      <c r="E97" s="226"/>
      <c r="F97" s="226"/>
      <c r="G97" s="226"/>
      <c r="H97" s="232"/>
      <c r="I97" s="424"/>
      <c r="J97" s="295"/>
      <c r="K97" s="339"/>
      <c r="L97" s="339"/>
      <c r="M97" s="226"/>
      <c r="N97" s="226"/>
      <c r="O97" s="339"/>
      <c r="P97" s="352" t="s">
        <v>71</v>
      </c>
      <c r="Q97" s="226"/>
      <c r="R97" s="896">
        <f>R96</f>
        <v>0</v>
      </c>
      <c r="S97" s="897"/>
      <c r="T97" s="897"/>
      <c r="U97" s="897"/>
      <c r="V97" s="898"/>
      <c r="W97" s="238"/>
      <c r="X97" s="253" t="s">
        <v>94</v>
      </c>
      <c r="Y97" s="268"/>
      <c r="Z97" s="239"/>
      <c r="AA97" s="425"/>
      <c r="AB97" s="226"/>
      <c r="AC97" s="426"/>
      <c r="AD97" s="425"/>
      <c r="AE97" s="425"/>
      <c r="AF97" s="425"/>
      <c r="AG97" s="425"/>
      <c r="AH97" s="425"/>
      <c r="AI97" s="425"/>
      <c r="AJ97" s="425"/>
      <c r="AK97" s="233"/>
    </row>
    <row r="98" spans="1:55" ht="13.5" thickBot="1" x14ac:dyDescent="0.25">
      <c r="A98" s="236"/>
      <c r="B98" s="350" t="s">
        <v>696</v>
      </c>
      <c r="C98" s="226"/>
      <c r="D98" s="232"/>
      <c r="E98" s="226"/>
      <c r="F98" s="226"/>
      <c r="G98" s="226"/>
      <c r="H98" s="232"/>
      <c r="I98" s="424"/>
      <c r="J98" s="295"/>
      <c r="K98" s="339"/>
      <c r="L98" s="1152">
        <f>R102</f>
        <v>0</v>
      </c>
      <c r="M98" s="1153"/>
      <c r="N98" s="1153"/>
      <c r="O98" s="1154"/>
      <c r="P98" s="226"/>
      <c r="Q98" s="226"/>
      <c r="R98" s="232"/>
      <c r="S98" s="339"/>
      <c r="T98" s="339"/>
      <c r="U98" s="339"/>
      <c r="V98" s="355"/>
      <c r="W98" s="238"/>
      <c r="X98" s="253" t="s">
        <v>618</v>
      </c>
      <c r="Y98" s="268"/>
      <c r="Z98" s="239"/>
      <c r="AA98" s="232"/>
      <c r="AB98" s="280" t="s">
        <v>697</v>
      </c>
      <c r="AC98" s="281"/>
      <c r="AD98" s="282">
        <f>'Cert. Constructor'!M27</f>
        <v>0</v>
      </c>
      <c r="AE98" s="283" t="s">
        <v>25</v>
      </c>
      <c r="AF98" s="283" t="s">
        <v>26</v>
      </c>
      <c r="AG98" s="283" t="s">
        <v>27</v>
      </c>
      <c r="AH98" s="283" t="s">
        <v>28</v>
      </c>
      <c r="AI98" s="283" t="s">
        <v>26</v>
      </c>
      <c r="AJ98" s="283" t="s">
        <v>29</v>
      </c>
      <c r="AK98" s="233"/>
    </row>
    <row r="99" spans="1:55" x14ac:dyDescent="0.2">
      <c r="A99" s="236"/>
      <c r="B99" s="258" t="s">
        <v>71</v>
      </c>
      <c r="C99" s="226"/>
      <c r="D99" s="226"/>
      <c r="E99" s="1083">
        <f>R96</f>
        <v>0</v>
      </c>
      <c r="F99" s="1083"/>
      <c r="G99" s="1083"/>
      <c r="H99" s="428"/>
      <c r="I99" s="232"/>
      <c r="J99" s="295"/>
      <c r="K99" s="339"/>
      <c r="L99" s="339"/>
      <c r="M99" s="232"/>
      <c r="N99" s="339"/>
      <c r="O99" s="339"/>
      <c r="P99" s="339"/>
      <c r="Q99" s="226"/>
      <c r="R99" s="232"/>
      <c r="S99" s="339"/>
      <c r="T99" s="339"/>
      <c r="U99" s="339"/>
      <c r="V99" s="355"/>
      <c r="W99" s="238"/>
      <c r="X99" s="253" t="s">
        <v>96</v>
      </c>
      <c r="Y99" s="268"/>
      <c r="Z99" s="239"/>
      <c r="AA99" s="232"/>
      <c r="AB99" s="285">
        <f>1000000*C14</f>
        <v>25000000</v>
      </c>
      <c r="AC99" s="286">
        <v>1.7000000000000001E-2</v>
      </c>
      <c r="AD99" s="285">
        <f>AB99*AC99</f>
        <v>425000.00000000006</v>
      </c>
      <c r="AE99" s="285"/>
      <c r="AF99" s="285"/>
      <c r="AG99" s="285">
        <f>IF(AD98&lt;=AB99,AD98,0)</f>
        <v>0</v>
      </c>
      <c r="AH99" s="286">
        <f>IF(AD98&lt;=AB99,AC99,0)</f>
        <v>1.7000000000000001E-2</v>
      </c>
      <c r="AI99" s="287">
        <f t="shared" ref="AI99:AI105" si="15">AG99*AH99</f>
        <v>0</v>
      </c>
      <c r="AJ99" s="285">
        <f t="shared" ref="AJ99:AJ105" si="16">AI99+AF99</f>
        <v>0</v>
      </c>
      <c r="AK99" s="233"/>
    </row>
    <row r="100" spans="1:55" ht="13.5" thickBot="1" x14ac:dyDescent="0.25">
      <c r="A100" s="236"/>
      <c r="B100" s="258" t="s">
        <v>95</v>
      </c>
      <c r="C100" s="226"/>
      <c r="D100" s="226"/>
      <c r="E100" s="1059">
        <v>8.5000000000000006E-2</v>
      </c>
      <c r="F100" s="1060"/>
      <c r="G100" s="1061"/>
      <c r="H100" s="1084">
        <v>8.5000000000000006E-2</v>
      </c>
      <c r="I100" s="1085"/>
      <c r="J100" s="295"/>
      <c r="K100" s="339"/>
      <c r="L100" s="1070"/>
      <c r="M100" s="1071"/>
      <c r="N100" s="1071"/>
      <c r="O100" s="339"/>
      <c r="P100" s="339"/>
      <c r="Q100" s="226"/>
      <c r="R100" s="901">
        <f>I103*(K62+K63)</f>
        <v>0</v>
      </c>
      <c r="S100" s="901"/>
      <c r="T100" s="901"/>
      <c r="U100" s="901"/>
      <c r="V100" s="902"/>
      <c r="W100" s="238"/>
      <c r="X100" s="258" t="s">
        <v>98</v>
      </c>
      <c r="Y100" s="427"/>
      <c r="Z100" s="239"/>
      <c r="AA100" s="232"/>
      <c r="AB100" s="287">
        <f>5000000*C14</f>
        <v>125000000</v>
      </c>
      <c r="AC100" s="288">
        <v>1.6E-2</v>
      </c>
      <c r="AD100" s="287">
        <f>(AB100-AB99)*AC100+AD99</f>
        <v>2025000</v>
      </c>
      <c r="AE100" s="287">
        <f>IF((AD98&gt;AB99)*AND(AD98&lt;=AB100),AB99,0)</f>
        <v>0</v>
      </c>
      <c r="AF100" s="287">
        <f>IF(AE100=AB99,AD99,0)</f>
        <v>0</v>
      </c>
      <c r="AG100" s="287">
        <f>IF(AE100=AB99,AD98-AB99,0)</f>
        <v>0</v>
      </c>
      <c r="AH100" s="288">
        <f>IF(AE100=AB99,AC100,0)</f>
        <v>0</v>
      </c>
      <c r="AI100" s="287">
        <f t="shared" si="15"/>
        <v>0</v>
      </c>
      <c r="AJ100" s="287">
        <f t="shared" si="16"/>
        <v>0</v>
      </c>
      <c r="AK100" s="233"/>
    </row>
    <row r="101" spans="1:55" ht="13.5" thickBot="1" x14ac:dyDescent="0.25">
      <c r="A101" s="236"/>
      <c r="B101" s="258" t="s">
        <v>335</v>
      </c>
      <c r="C101" s="226"/>
      <c r="D101" s="226"/>
      <c r="E101" s="1059">
        <v>0.3</v>
      </c>
      <c r="F101" s="1060"/>
      <c r="G101" s="1061"/>
      <c r="H101" s="1062" t="s">
        <v>713</v>
      </c>
      <c r="I101" s="1063"/>
      <c r="J101" s="1063"/>
      <c r="K101" s="1063"/>
      <c r="L101" s="429" t="s">
        <v>649</v>
      </c>
      <c r="M101" s="226"/>
      <c r="N101" s="226"/>
      <c r="O101" s="226"/>
      <c r="P101" s="339"/>
      <c r="Q101" s="226"/>
      <c r="R101" s="901">
        <f>IF(E103="SI",K64*I103,0)</f>
        <v>0</v>
      </c>
      <c r="S101" s="901"/>
      <c r="T101" s="901"/>
      <c r="U101" s="901"/>
      <c r="V101" s="902"/>
      <c r="W101" s="238"/>
      <c r="X101" s="890" t="s">
        <v>99</v>
      </c>
      <c r="Y101" s="891"/>
      <c r="Z101" s="239"/>
      <c r="AA101" s="232"/>
      <c r="AB101" s="287">
        <f>10000000*C14</f>
        <v>250000000</v>
      </c>
      <c r="AC101" s="288">
        <v>1.4999999999999999E-2</v>
      </c>
      <c r="AD101" s="287">
        <f>(AB101-AB100)*AC101+AD100</f>
        <v>3900000</v>
      </c>
      <c r="AE101" s="287">
        <f>IF((AD98&gt;AB100)*AND(AD98&lt;=AB101),AB100,0)</f>
        <v>0</v>
      </c>
      <c r="AF101" s="287">
        <f>IF(AE101=AB100,AD100,0)</f>
        <v>0</v>
      </c>
      <c r="AG101" s="287">
        <f>IF(AE101=AB100,AD98-AB100,0)</f>
        <v>0</v>
      </c>
      <c r="AH101" s="288">
        <f>IF(AE101=AB100,AC101,0)</f>
        <v>0</v>
      </c>
      <c r="AI101" s="287">
        <f t="shared" si="15"/>
        <v>0</v>
      </c>
      <c r="AJ101" s="287">
        <f t="shared" si="16"/>
        <v>0</v>
      </c>
      <c r="AK101" s="233"/>
    </row>
    <row r="102" spans="1:55" x14ac:dyDescent="0.2">
      <c r="A102" s="236"/>
      <c r="B102" s="258" t="s">
        <v>97</v>
      </c>
      <c r="C102" s="226"/>
      <c r="D102" s="226"/>
      <c r="E102" s="1090">
        <v>0.16</v>
      </c>
      <c r="F102" s="1091"/>
      <c r="G102" s="1092"/>
      <c r="H102" s="1062">
        <v>0.16</v>
      </c>
      <c r="I102" s="1063"/>
      <c r="J102" s="295"/>
      <c r="K102" s="339"/>
      <c r="L102" s="339"/>
      <c r="M102" s="343"/>
      <c r="N102" s="339"/>
      <c r="O102" s="339"/>
      <c r="P102" s="352" t="s">
        <v>71</v>
      </c>
      <c r="Q102" s="226"/>
      <c r="R102" s="896">
        <f>SUM(R100,R101)</f>
        <v>0</v>
      </c>
      <c r="S102" s="897"/>
      <c r="T102" s="897"/>
      <c r="U102" s="897"/>
      <c r="V102" s="898"/>
      <c r="W102" s="238"/>
      <c r="X102" s="253" t="s">
        <v>100</v>
      </c>
      <c r="Y102" s="370">
        <f>ROUNDUP(1*C15,0)</f>
        <v>500000</v>
      </c>
      <c r="Z102" s="239"/>
      <c r="AA102" s="232"/>
      <c r="AB102" s="287">
        <f>30000000*C14</f>
        <v>750000000</v>
      </c>
      <c r="AC102" s="288">
        <v>1.4E-2</v>
      </c>
      <c r="AD102" s="287">
        <f>(AB102-AB101)*AC102+AD101</f>
        <v>10900000</v>
      </c>
      <c r="AE102" s="287">
        <f>IF((AD98&gt;AB101)*AND(AD98&lt;=AB102),AB101,0)</f>
        <v>0</v>
      </c>
      <c r="AF102" s="287">
        <f>IF(AE102=AB101,AD101,0)</f>
        <v>0</v>
      </c>
      <c r="AG102" s="287">
        <f>IF(AE102=AB101,AD98-AB101,0)</f>
        <v>0</v>
      </c>
      <c r="AH102" s="288">
        <f>IF(AE102=AB101,AC102,0)</f>
        <v>0</v>
      </c>
      <c r="AI102" s="287">
        <f t="shared" si="15"/>
        <v>0</v>
      </c>
      <c r="AJ102" s="287">
        <f t="shared" si="16"/>
        <v>0</v>
      </c>
      <c r="AK102" s="233"/>
    </row>
    <row r="103" spans="1:55" ht="13.5" thickBot="1" x14ac:dyDescent="0.25">
      <c r="A103" s="236"/>
      <c r="B103" s="804" t="s">
        <v>328</v>
      </c>
      <c r="C103" s="295"/>
      <c r="D103" s="226"/>
      <c r="E103" s="1155" t="s">
        <v>578</v>
      </c>
      <c r="F103" s="1156"/>
      <c r="G103" s="809"/>
      <c r="H103" s="226" t="s">
        <v>191</v>
      </c>
      <c r="I103" s="1089">
        <f>E99*E100*E101*E102</f>
        <v>0</v>
      </c>
      <c r="J103" s="1089"/>
      <c r="K103" s="1089"/>
      <c r="L103" s="429" t="s">
        <v>650</v>
      </c>
      <c r="M103" s="424"/>
      <c r="N103" s="339"/>
      <c r="O103" s="1179" t="str">
        <f>IF( Datos!K64=0%,"Otro Prof. asume la Construcción",IF(Datos!K64&lt;=20%,"Estudio de Proyecto",IF(Datos!K64&lt;=45%,"Contratos Separados",IF(Datos!K64&gt;=75%,"Direccion Ejecutiva",IF(Datos!K64=60%,IF(Datos!K63=40%,"Contratos Separados","Direccion Ejecutiva"))))))</f>
        <v>Otro Prof. asume la Construcción</v>
      </c>
      <c r="P103" s="1180"/>
      <c r="Q103" s="1180"/>
      <c r="R103" s="1180"/>
      <c r="S103" s="1180"/>
      <c r="T103" s="1180"/>
      <c r="U103" s="1180"/>
      <c r="V103" s="1181"/>
      <c r="W103" s="238"/>
      <c r="X103" s="380" t="s">
        <v>603</v>
      </c>
      <c r="Y103" s="807"/>
      <c r="Z103" s="239"/>
      <c r="AA103" s="232"/>
      <c r="AB103" s="287">
        <f>100000000*C14</f>
        <v>2500000000</v>
      </c>
      <c r="AC103" s="288">
        <v>1.2999999999999999E-2</v>
      </c>
      <c r="AD103" s="287">
        <f>(AB103-AB102)*AC103+AD102</f>
        <v>33650000</v>
      </c>
      <c r="AE103" s="287">
        <f>IF((AD98&gt;AB102)*AND(AD98&lt;=AB103),AB102,0)</f>
        <v>0</v>
      </c>
      <c r="AF103" s="287">
        <f>IF(AE103=AB102,AD102,0)</f>
        <v>0</v>
      </c>
      <c r="AG103" s="287">
        <f>IF(AE103=AB102,AD98-AB102,0)</f>
        <v>0</v>
      </c>
      <c r="AH103" s="288">
        <f>IF(AE103=AB102,AC103,0)</f>
        <v>0</v>
      </c>
      <c r="AI103" s="287">
        <f t="shared" si="15"/>
        <v>0</v>
      </c>
      <c r="AJ103" s="287">
        <f t="shared" si="16"/>
        <v>0</v>
      </c>
      <c r="AK103" s="233"/>
      <c r="BB103" s="776" t="s">
        <v>578</v>
      </c>
      <c r="BC103" s="776" t="s">
        <v>579</v>
      </c>
    </row>
    <row r="104" spans="1:55" ht="13.5" thickBot="1" x14ac:dyDescent="0.25">
      <c r="A104" s="772"/>
      <c r="B104" s="812"/>
      <c r="C104" s="295"/>
      <c r="D104" s="226"/>
      <c r="E104" s="814"/>
      <c r="F104" s="226"/>
      <c r="G104" s="3"/>
      <c r="H104" s="226"/>
      <c r="I104" s="805"/>
      <c r="J104" s="805"/>
      <c r="K104" s="805"/>
      <c r="L104" s="429"/>
      <c r="M104" s="424"/>
      <c r="N104" s="339"/>
      <c r="O104" s="806"/>
      <c r="P104" s="810"/>
      <c r="Q104" s="810"/>
      <c r="R104" s="810"/>
      <c r="S104" s="810"/>
      <c r="T104" s="810"/>
      <c r="U104" s="810"/>
      <c r="V104" s="810"/>
      <c r="W104" s="813"/>
      <c r="X104" s="258" t="s">
        <v>287</v>
      </c>
      <c r="Y104" s="370">
        <f>ROUNDUP(1.5*C15,0)</f>
        <v>750000</v>
      </c>
      <c r="Z104" s="239"/>
      <c r="AA104" s="232"/>
      <c r="AB104" s="287"/>
      <c r="AC104" s="288"/>
      <c r="AD104" s="287"/>
      <c r="AE104" s="292"/>
      <c r="AF104" s="292"/>
      <c r="AG104" s="292"/>
      <c r="AH104" s="293"/>
      <c r="AI104" s="292"/>
      <c r="AJ104" s="292"/>
      <c r="AK104" s="233"/>
      <c r="BB104" s="776"/>
      <c r="BC104" s="776"/>
    </row>
    <row r="105" spans="1:55" ht="13.5" thickBot="1" x14ac:dyDescent="0.25">
      <c r="A105" s="430">
        <v>11</v>
      </c>
      <c r="B105" s="811" t="s">
        <v>0</v>
      </c>
      <c r="C105" s="431"/>
      <c r="D105" s="432"/>
      <c r="E105" s="432"/>
      <c r="F105" s="432"/>
      <c r="G105" s="432"/>
      <c r="H105" s="433"/>
      <c r="I105" s="434"/>
      <c r="J105" s="235"/>
      <c r="K105" s="435"/>
      <c r="L105" s="435"/>
      <c r="M105" s="436"/>
      <c r="N105" s="435"/>
      <c r="O105" s="435"/>
      <c r="P105" s="235"/>
      <c r="Q105" s="431"/>
      <c r="R105" s="437"/>
      <c r="S105" s="437"/>
      <c r="T105" s="437"/>
      <c r="U105" s="437"/>
      <c r="V105" s="808"/>
      <c r="W105" s="438"/>
      <c r="X105" s="890" t="s">
        <v>101</v>
      </c>
      <c r="Y105" s="891"/>
      <c r="Z105" s="239"/>
      <c r="AA105" s="232"/>
      <c r="AB105" s="287">
        <f>100000001*C14</f>
        <v>2500000025</v>
      </c>
      <c r="AC105" s="288">
        <v>1.2E-2</v>
      </c>
      <c r="AD105" s="291"/>
      <c r="AE105" s="292">
        <f>IF(AD98&gt;AB103,AB103,0)</f>
        <v>0</v>
      </c>
      <c r="AF105" s="292">
        <f>IF(AE105=AB103,AD103,0)</f>
        <v>0</v>
      </c>
      <c r="AG105" s="292">
        <f>IF(AE105=AB103,AD98-AB103,0)</f>
        <v>0</v>
      </c>
      <c r="AH105" s="293">
        <f>IF(AE105=AB103,AC105,0)</f>
        <v>0</v>
      </c>
      <c r="AI105" s="292">
        <f t="shared" si="15"/>
        <v>0</v>
      </c>
      <c r="AJ105" s="292">
        <f t="shared" si="16"/>
        <v>0</v>
      </c>
      <c r="AK105" s="233"/>
    </row>
    <row r="106" spans="1:55" ht="13.5" thickBot="1" x14ac:dyDescent="0.25">
      <c r="A106" s="236"/>
      <c r="B106" s="332" t="s">
        <v>63</v>
      </c>
      <c r="C106" s="241"/>
      <c r="D106" s="333"/>
      <c r="E106" s="241"/>
      <c r="F106" s="241"/>
      <c r="G106" s="241"/>
      <c r="H106" s="333"/>
      <c r="I106" s="334"/>
      <c r="J106" s="307"/>
      <c r="K106" s="335"/>
      <c r="L106" s="335"/>
      <c r="M106" s="333"/>
      <c r="N106" s="335"/>
      <c r="O106" s="335"/>
      <c r="P106" s="335"/>
      <c r="Q106" s="333"/>
      <c r="R106" s="335"/>
      <c r="S106" s="335"/>
      <c r="T106" s="335"/>
      <c r="U106" s="335"/>
      <c r="V106" s="419"/>
      <c r="W106" s="238"/>
      <c r="X106" s="253" t="s">
        <v>103</v>
      </c>
      <c r="Y106" s="370">
        <f>ROUNDUP(0.7*C15,0)</f>
        <v>350000</v>
      </c>
      <c r="Z106" s="239"/>
      <c r="AA106" s="232"/>
      <c r="AB106" s="296"/>
      <c r="AC106" s="296"/>
      <c r="AD106" s="296"/>
      <c r="AE106" s="297">
        <f t="shared" ref="AE106:AJ106" si="17">SUM(AE99:AE105)</f>
        <v>0</v>
      </c>
      <c r="AF106" s="298">
        <f t="shared" si="17"/>
        <v>0</v>
      </c>
      <c r="AG106" s="298">
        <f t="shared" si="17"/>
        <v>0</v>
      </c>
      <c r="AH106" s="299">
        <f t="shared" si="17"/>
        <v>1.7000000000000001E-2</v>
      </c>
      <c r="AI106" s="298">
        <f t="shared" si="17"/>
        <v>0</v>
      </c>
      <c r="AJ106" s="300">
        <f t="shared" si="17"/>
        <v>0</v>
      </c>
      <c r="AK106" s="233"/>
    </row>
    <row r="107" spans="1:55" ht="13.5" thickBot="1" x14ac:dyDescent="0.25">
      <c r="A107" s="236"/>
      <c r="B107" s="258"/>
      <c r="C107" s="439" t="s">
        <v>102</v>
      </c>
      <c r="D107" s="1086"/>
      <c r="E107" s="1087"/>
      <c r="F107" s="1087"/>
      <c r="G107" s="1088"/>
      <c r="H107" s="295"/>
      <c r="I107" s="226"/>
      <c r="J107" s="295"/>
      <c r="K107" s="339"/>
      <c r="L107" s="1182"/>
      <c r="M107" s="1182"/>
      <c r="N107" s="1182"/>
      <c r="O107" s="1182"/>
      <c r="P107" s="295"/>
      <c r="Q107" s="226"/>
      <c r="R107" s="901">
        <f>D107</f>
        <v>0</v>
      </c>
      <c r="S107" s="901"/>
      <c r="T107" s="901"/>
      <c r="U107" s="901"/>
      <c r="V107" s="902"/>
      <c r="W107" s="238"/>
      <c r="X107" s="379" t="s">
        <v>104</v>
      </c>
      <c r="Y107" s="370"/>
      <c r="Z107" s="239"/>
      <c r="AA107" s="232"/>
      <c r="AB107" s="232"/>
      <c r="AC107" s="232"/>
      <c r="AD107" s="232"/>
      <c r="AE107" s="232"/>
      <c r="AF107" s="232"/>
      <c r="AG107" s="232"/>
      <c r="AH107" s="232"/>
      <c r="AI107" s="232"/>
      <c r="AJ107" s="232"/>
      <c r="AK107" s="233"/>
    </row>
    <row r="108" spans="1:55" ht="13.5" thickBot="1" x14ac:dyDescent="0.25">
      <c r="A108" s="236"/>
      <c r="B108" s="244"/>
      <c r="C108" s="226"/>
      <c r="D108" s="232"/>
      <c r="E108" s="226"/>
      <c r="F108" s="226"/>
      <c r="G108" s="226"/>
      <c r="H108" s="232"/>
      <c r="I108" s="424"/>
      <c r="J108" s="295"/>
      <c r="K108" s="339"/>
      <c r="L108" s="339"/>
      <c r="M108" s="226"/>
      <c r="N108" s="226"/>
      <c r="O108" s="339"/>
      <c r="P108" s="352" t="s">
        <v>71</v>
      </c>
      <c r="Q108" s="226"/>
      <c r="R108" s="896">
        <f>R107</f>
        <v>0</v>
      </c>
      <c r="S108" s="897"/>
      <c r="T108" s="897"/>
      <c r="U108" s="897"/>
      <c r="V108" s="898"/>
      <c r="W108" s="238"/>
      <c r="X108" s="253" t="s">
        <v>105</v>
      </c>
      <c r="Y108" s="370">
        <f>ROUNDUP(0.7*C15,0)</f>
        <v>350000</v>
      </c>
      <c r="Z108" s="239"/>
      <c r="AA108" s="232"/>
      <c r="AB108" s="232"/>
      <c r="AC108" s="232"/>
      <c r="AD108" s="232"/>
      <c r="AE108" s="232"/>
      <c r="AF108" s="232"/>
      <c r="AG108" s="232"/>
      <c r="AH108" s="232"/>
      <c r="AI108" s="232"/>
      <c r="AJ108" s="232"/>
      <c r="AK108" s="233"/>
    </row>
    <row r="109" spans="1:55" ht="13.5" thickBot="1" x14ac:dyDescent="0.25">
      <c r="A109" s="236"/>
      <c r="B109" s="1016" t="s">
        <v>25</v>
      </c>
      <c r="C109" s="1178"/>
      <c r="D109" s="1006">
        <f>AE83</f>
        <v>0</v>
      </c>
      <c r="E109" s="1006"/>
      <c r="F109" s="1006"/>
      <c r="G109" s="1006"/>
      <c r="H109" s="295" t="s">
        <v>74</v>
      </c>
      <c r="I109" s="226"/>
      <c r="J109" s="295"/>
      <c r="K109" s="339"/>
      <c r="L109" s="1055">
        <f>AF83</f>
        <v>0</v>
      </c>
      <c r="M109" s="1055"/>
      <c r="N109" s="1055"/>
      <c r="O109" s="1055"/>
      <c r="P109" s="339"/>
      <c r="Q109" s="232"/>
      <c r="R109" s="339"/>
      <c r="S109" s="339"/>
      <c r="T109" s="339"/>
      <c r="U109" s="339"/>
      <c r="V109" s="248"/>
      <c r="W109" s="238"/>
      <c r="X109" s="253" t="s">
        <v>108</v>
      </c>
      <c r="Y109" s="370">
        <f>ROUNDUP(1*C15,0)</f>
        <v>500000</v>
      </c>
      <c r="Z109" s="239"/>
      <c r="AA109" s="232"/>
      <c r="AB109" s="1025" t="s">
        <v>639</v>
      </c>
      <c r="AC109" s="1026"/>
      <c r="AD109" s="388" t="s">
        <v>245</v>
      </c>
      <c r="AE109" s="389" t="str">
        <f>'Cert. Constructor'!J34</f>
        <v>ASDASD</v>
      </c>
      <c r="AF109" s="390"/>
      <c r="AG109" s="232"/>
      <c r="AH109" s="232"/>
      <c r="AI109" s="232"/>
      <c r="AJ109" s="232"/>
      <c r="AK109" s="233"/>
    </row>
    <row r="110" spans="1:55" ht="13.5" thickBot="1" x14ac:dyDescent="0.25">
      <c r="A110" s="236"/>
      <c r="B110" s="386" t="s">
        <v>75</v>
      </c>
      <c r="C110" s="226"/>
      <c r="D110" s="1064">
        <f>AH83</f>
        <v>0.05</v>
      </c>
      <c r="E110" s="1064"/>
      <c r="F110" s="1064"/>
      <c r="G110" s="1064"/>
      <c r="H110" s="295" t="s">
        <v>76</v>
      </c>
      <c r="I110" s="226"/>
      <c r="J110" s="295"/>
      <c r="K110" s="339"/>
      <c r="L110" s="972">
        <f>AG83</f>
        <v>0</v>
      </c>
      <c r="M110" s="972"/>
      <c r="N110" s="972"/>
      <c r="O110" s="972"/>
      <c r="P110" s="339"/>
      <c r="Q110" s="387" t="s">
        <v>77</v>
      </c>
      <c r="R110" s="903">
        <f>AI83</f>
        <v>0</v>
      </c>
      <c r="S110" s="903"/>
      <c r="T110" s="903"/>
      <c r="U110" s="903"/>
      <c r="V110" s="904"/>
      <c r="W110" s="238"/>
      <c r="X110" s="253" t="s">
        <v>109</v>
      </c>
      <c r="Y110" s="370">
        <f>ROUNDUP(1*C15,0)</f>
        <v>500000</v>
      </c>
      <c r="Z110" s="239"/>
      <c r="AA110" s="232"/>
      <c r="AB110" s="392" t="s">
        <v>246</v>
      </c>
      <c r="AC110" s="393" t="e">
        <f>ROUND(IF(AE109&lt;=AC113,AF113,IF(AE109&lt;=AE114,AF114,AE109*2.5%)),2)</f>
        <v>#VALUE!</v>
      </c>
      <c r="AD110" s="394"/>
      <c r="AE110" s="394"/>
      <c r="AF110" s="395"/>
      <c r="AG110" s="232"/>
      <c r="AH110" s="232"/>
      <c r="AI110" s="232"/>
      <c r="AJ110" s="232"/>
      <c r="AK110" s="233"/>
    </row>
    <row r="111" spans="1:55" x14ac:dyDescent="0.2">
      <c r="A111" s="236"/>
      <c r="B111" s="244"/>
      <c r="C111" s="226"/>
      <c r="D111" s="232"/>
      <c r="E111" s="226"/>
      <c r="F111" s="226"/>
      <c r="G111" s="226"/>
      <c r="H111" s="232"/>
      <c r="I111" s="424"/>
      <c r="J111" s="295"/>
      <c r="K111" s="339"/>
      <c r="L111" s="339"/>
      <c r="M111" s="343"/>
      <c r="N111" s="339"/>
      <c r="O111" s="339"/>
      <c r="P111" s="352" t="s">
        <v>71</v>
      </c>
      <c r="Q111" s="226"/>
      <c r="R111" s="896">
        <f>AJ83</f>
        <v>0</v>
      </c>
      <c r="S111" s="897"/>
      <c r="T111" s="897"/>
      <c r="U111" s="897"/>
      <c r="V111" s="898"/>
      <c r="W111" s="238"/>
      <c r="X111" s="253" t="s">
        <v>671</v>
      </c>
      <c r="Y111" s="370">
        <f>ROUNDUP(1*C15,0)</f>
        <v>500000</v>
      </c>
      <c r="Z111" s="239"/>
      <c r="AA111" s="232"/>
      <c r="AB111" s="397"/>
      <c r="AC111" s="398"/>
      <c r="AD111" s="399"/>
      <c r="AE111" s="399"/>
      <c r="AF111" s="400"/>
      <c r="AG111" s="232"/>
      <c r="AH111" s="232"/>
      <c r="AI111" s="232"/>
      <c r="AJ111" s="232"/>
      <c r="AK111" s="233"/>
    </row>
    <row r="112" spans="1:55" ht="13.5" thickBot="1" x14ac:dyDescent="0.25">
      <c r="A112" s="236"/>
      <c r="B112" s="323"/>
      <c r="C112" s="263"/>
      <c r="D112" s="412"/>
      <c r="E112" s="263"/>
      <c r="F112" s="263"/>
      <c r="G112" s="263"/>
      <c r="H112" s="357"/>
      <c r="I112" s="440"/>
      <c r="J112" s="301"/>
      <c r="K112" s="356"/>
      <c r="L112" s="356"/>
      <c r="M112" s="324"/>
      <c r="N112" s="356"/>
      <c r="O112" s="356"/>
      <c r="P112" s="356"/>
      <c r="Q112" s="441"/>
      <c r="R112" s="356"/>
      <c r="S112" s="356"/>
      <c r="T112" s="356"/>
      <c r="U112" s="356"/>
      <c r="V112" s="413"/>
      <c r="W112" s="238"/>
      <c r="X112" s="253" t="s">
        <v>698</v>
      </c>
      <c r="Y112" s="370">
        <f>ROUNDUP(1*C15,0)</f>
        <v>500000</v>
      </c>
      <c r="Z112" s="239"/>
      <c r="AA112" s="232"/>
      <c r="AB112" s="401"/>
      <c r="AC112" s="402"/>
      <c r="AD112" s="403"/>
      <c r="AE112" s="404"/>
      <c r="AF112" s="405"/>
      <c r="AG112" s="232"/>
      <c r="AH112" s="232"/>
      <c r="AI112" s="232"/>
      <c r="AJ112" s="232"/>
      <c r="AK112" s="233"/>
    </row>
    <row r="113" spans="1:37" ht="13.5" thickBot="1" x14ac:dyDescent="0.25">
      <c r="A113" s="234">
        <v>12</v>
      </c>
      <c r="B113" s="235" t="s">
        <v>1</v>
      </c>
      <c r="C113" s="236"/>
      <c r="D113" s="238"/>
      <c r="E113" s="236"/>
      <c r="F113" s="236"/>
      <c r="G113" s="236"/>
      <c r="H113" s="238"/>
      <c r="I113" s="416"/>
      <c r="J113" s="327"/>
      <c r="K113" s="328"/>
      <c r="L113" s="328"/>
      <c r="M113" s="238"/>
      <c r="N113" s="328"/>
      <c r="O113" s="328"/>
      <c r="P113" s="328"/>
      <c r="Q113" s="238"/>
      <c r="R113" s="328"/>
      <c r="S113" s="328"/>
      <c r="T113" s="328"/>
      <c r="U113" s="328"/>
      <c r="V113" s="328"/>
      <c r="W113" s="238"/>
      <c r="X113" s="379" t="s">
        <v>600</v>
      </c>
      <c r="Y113" s="370"/>
      <c r="Z113" s="239"/>
      <c r="AA113" s="232"/>
      <c r="AB113" s="406" t="s">
        <v>242</v>
      </c>
      <c r="AC113" s="407">
        <f>AC92</f>
        <v>6103</v>
      </c>
      <c r="AD113" s="408"/>
      <c r="AE113" s="409"/>
      <c r="AF113" s="410">
        <f>AF92</f>
        <v>374</v>
      </c>
      <c r="AG113" s="232"/>
      <c r="AH113" s="232"/>
      <c r="AI113" s="232"/>
      <c r="AJ113" s="232"/>
      <c r="AK113" s="233"/>
    </row>
    <row r="114" spans="1:37" x14ac:dyDescent="0.2">
      <c r="A114" s="236"/>
      <c r="B114" s="442" t="s">
        <v>235</v>
      </c>
      <c r="C114" s="241"/>
      <c r="D114" s="241"/>
      <c r="E114" s="241"/>
      <c r="F114" s="1077">
        <f>K62</f>
        <v>0</v>
      </c>
      <c r="G114" s="1077"/>
      <c r="H114" s="1115">
        <f>L73*K62</f>
        <v>0</v>
      </c>
      <c r="I114" s="1115"/>
      <c r="J114" s="1115"/>
      <c r="K114" s="1115"/>
      <c r="L114" s="241"/>
      <c r="M114" s="241"/>
      <c r="N114" s="241"/>
      <c r="O114" s="241"/>
      <c r="P114" s="335"/>
      <c r="Q114" s="333"/>
      <c r="R114" s="335"/>
      <c r="S114" s="335"/>
      <c r="T114" s="335"/>
      <c r="U114" s="335"/>
      <c r="V114" s="419"/>
      <c r="W114" s="238"/>
      <c r="X114" s="253" t="s">
        <v>672</v>
      </c>
      <c r="Y114" s="370">
        <f>ROUNDUP(0.5*C15,0)</f>
        <v>250000</v>
      </c>
      <c r="Z114" s="239"/>
      <c r="AA114" s="232"/>
      <c r="AB114" s="401" t="s">
        <v>191</v>
      </c>
      <c r="AC114" s="414">
        <f>AC93</f>
        <v>6103.01</v>
      </c>
      <c r="AD114" s="403" t="s">
        <v>243</v>
      </c>
      <c r="AE114" s="404">
        <f>AE93</f>
        <v>27718</v>
      </c>
      <c r="AF114" s="415">
        <f>AF93</f>
        <v>692</v>
      </c>
      <c r="AG114" s="232"/>
      <c r="AH114" s="232"/>
      <c r="AI114" s="232"/>
      <c r="AJ114" s="232"/>
      <c r="AK114" s="233"/>
    </row>
    <row r="115" spans="1:37" x14ac:dyDescent="0.2">
      <c r="A115" s="236"/>
      <c r="B115" s="258" t="s">
        <v>475</v>
      </c>
      <c r="C115" s="226"/>
      <c r="D115" s="1073" t="str">
        <f>G86</f>
        <v>Mínimo</v>
      </c>
      <c r="E115" s="1073"/>
      <c r="F115" s="226"/>
      <c r="G115" s="226"/>
      <c r="H115" s="1138">
        <f>L86</f>
        <v>0</v>
      </c>
      <c r="I115" s="1138"/>
      <c r="J115" s="1138"/>
      <c r="K115" s="1138"/>
      <c r="L115" s="226"/>
      <c r="M115" s="226"/>
      <c r="N115" s="226"/>
      <c r="O115" s="226"/>
      <c r="P115" s="339"/>
      <c r="Q115" s="443"/>
      <c r="R115" s="1136"/>
      <c r="S115" s="1136"/>
      <c r="T115" s="1136"/>
      <c r="U115" s="1136"/>
      <c r="V115" s="1137"/>
      <c r="W115" s="238"/>
      <c r="X115" s="253" t="s">
        <v>110</v>
      </c>
      <c r="Y115" s="370">
        <f>ROUNDUP(0.2*C15,0)</f>
        <v>100000</v>
      </c>
      <c r="Z115" s="239"/>
      <c r="AA115" s="232"/>
      <c r="AB115" s="401" t="s">
        <v>244</v>
      </c>
      <c r="AC115" s="414">
        <f>AC94</f>
        <v>27718.01</v>
      </c>
      <c r="AD115" s="417">
        <v>2.5000000000000001E-2</v>
      </c>
      <c r="AE115" s="403"/>
      <c r="AF115" s="418"/>
      <c r="AG115" s="232"/>
      <c r="AH115" s="232"/>
      <c r="AI115" s="232"/>
      <c r="AJ115" s="232"/>
      <c r="AK115" s="233"/>
    </row>
    <row r="116" spans="1:37" ht="13.5" thickBot="1" x14ac:dyDescent="0.25">
      <c r="A116" s="236"/>
      <c r="B116" s="258" t="s">
        <v>595</v>
      </c>
      <c r="C116" s="226"/>
      <c r="D116" s="295"/>
      <c r="E116" s="226"/>
      <c r="F116" s="1075">
        <f>K62</f>
        <v>0</v>
      </c>
      <c r="G116" s="1076"/>
      <c r="H116" s="1139">
        <f>I103*F116</f>
        <v>0</v>
      </c>
      <c r="I116" s="1139"/>
      <c r="J116" s="1139"/>
      <c r="K116" s="1139"/>
      <c r="L116" s="226"/>
      <c r="M116" s="226"/>
      <c r="N116" s="226"/>
      <c r="O116" s="226"/>
      <c r="P116" s="226"/>
      <c r="Q116" s="226"/>
      <c r="R116" s="226"/>
      <c r="S116" s="226"/>
      <c r="T116" s="226"/>
      <c r="U116" s="226"/>
      <c r="V116" s="248"/>
      <c r="W116" s="238"/>
      <c r="X116" s="379" t="s">
        <v>111</v>
      </c>
      <c r="Y116" s="370">
        <f>ROUNDUP(0.5*C15,0)</f>
        <v>250000</v>
      </c>
      <c r="Z116" s="239"/>
      <c r="AA116" s="232"/>
      <c r="AB116" s="420"/>
      <c r="AC116" s="421"/>
      <c r="AD116" s="422"/>
      <c r="AE116" s="422"/>
      <c r="AF116" s="423"/>
      <c r="AG116" s="232"/>
      <c r="AH116" s="232"/>
      <c r="AI116" s="232"/>
      <c r="AJ116" s="232"/>
      <c r="AK116" s="233"/>
    </row>
    <row r="117" spans="1:37" x14ac:dyDescent="0.2">
      <c r="A117" s="236"/>
      <c r="B117" s="446"/>
      <c r="C117" s="232"/>
      <c r="D117" s="295"/>
      <c r="E117" s="226"/>
      <c r="F117" s="226"/>
      <c r="G117" s="226"/>
      <c r="H117" s="1093" t="s">
        <v>489</v>
      </c>
      <c r="I117" s="1093"/>
      <c r="J117" s="1093"/>
      <c r="K117" s="1093"/>
      <c r="L117" s="1111">
        <f>H114+H115+H116</f>
        <v>0</v>
      </c>
      <c r="M117" s="1111"/>
      <c r="N117" s="1111"/>
      <c r="O117" s="1111"/>
      <c r="P117" s="339"/>
      <c r="Q117" s="448"/>
      <c r="R117" s="444"/>
      <c r="S117" s="444"/>
      <c r="T117" s="444"/>
      <c r="U117" s="444"/>
      <c r="V117" s="445"/>
      <c r="W117" s="238"/>
      <c r="X117" s="379" t="s">
        <v>112</v>
      </c>
      <c r="Y117" s="370"/>
      <c r="Z117" s="239"/>
      <c r="AA117" s="232"/>
      <c r="AB117" s="232"/>
      <c r="AC117" s="232"/>
      <c r="AD117" s="232"/>
      <c r="AE117" s="232"/>
      <c r="AF117" s="232"/>
      <c r="AG117" s="232"/>
      <c r="AH117" s="232"/>
      <c r="AI117" s="232"/>
      <c r="AJ117" s="232"/>
      <c r="AK117" s="233"/>
    </row>
    <row r="118" spans="1:37" x14ac:dyDescent="0.2">
      <c r="A118" s="236"/>
      <c r="B118" s="258" t="s">
        <v>205</v>
      </c>
      <c r="C118" s="232"/>
      <c r="D118" s="295"/>
      <c r="E118" s="226"/>
      <c r="F118" s="1099">
        <f>K63</f>
        <v>0</v>
      </c>
      <c r="G118" s="1100"/>
      <c r="H118" s="1082">
        <f>L73*K63</f>
        <v>0</v>
      </c>
      <c r="I118" s="1082"/>
      <c r="J118" s="1082"/>
      <c r="K118" s="1082"/>
      <c r="L118" s="717"/>
      <c r="M118" s="717"/>
      <c r="N118" s="717"/>
      <c r="O118" s="717"/>
      <c r="P118" s="339"/>
      <c r="Q118" s="448"/>
      <c r="R118" s="444"/>
      <c r="S118" s="444"/>
      <c r="T118" s="444"/>
      <c r="U118" s="444"/>
      <c r="V118" s="445"/>
      <c r="W118" s="238"/>
      <c r="X118" s="253" t="s">
        <v>113</v>
      </c>
      <c r="Y118" s="370">
        <f>ROUNDUP(0.025*C15,0)</f>
        <v>12500</v>
      </c>
      <c r="Z118" s="239"/>
      <c r="AA118" s="232"/>
      <c r="AB118" s="232"/>
      <c r="AC118" s="232"/>
      <c r="AD118" s="232"/>
      <c r="AE118" s="232"/>
      <c r="AF118" s="232"/>
      <c r="AG118" s="232"/>
      <c r="AH118" s="232"/>
      <c r="AI118" s="232"/>
      <c r="AJ118" s="232"/>
      <c r="AK118" s="233"/>
    </row>
    <row r="119" spans="1:37" ht="13.5" thickBot="1" x14ac:dyDescent="0.25">
      <c r="A119" s="236"/>
      <c r="B119" s="295" t="str">
        <f>IF(E103="NO","-","Dirección demolición")</f>
        <v>Dirección demolición</v>
      </c>
      <c r="C119" s="450"/>
      <c r="D119" s="3"/>
      <c r="E119" s="451"/>
      <c r="F119" s="1080">
        <f>K63</f>
        <v>0</v>
      </c>
      <c r="G119" s="1080"/>
      <c r="H119" s="1081">
        <f>I103*K63</f>
        <v>0</v>
      </c>
      <c r="I119" s="1081"/>
      <c r="J119" s="1081"/>
      <c r="K119" s="1081"/>
      <c r="L119" s="453"/>
      <c r="M119" s="451"/>
      <c r="N119" s="453"/>
      <c r="O119" s="453"/>
      <c r="P119" s="453"/>
      <c r="Q119" s="454"/>
      <c r="R119" s="455"/>
      <c r="S119" s="899"/>
      <c r="T119" s="899"/>
      <c r="U119" s="899"/>
      <c r="V119" s="900"/>
      <c r="W119" s="238"/>
      <c r="X119" s="258" t="s">
        <v>114</v>
      </c>
      <c r="Y119" s="449">
        <f>ROUNDUP(0.05*C15,0)</f>
        <v>25000</v>
      </c>
      <c r="Z119" s="239"/>
      <c r="AA119" s="232"/>
      <c r="AB119" s="232"/>
      <c r="AC119" s="232"/>
      <c r="AD119" s="232"/>
      <c r="AE119" s="232"/>
      <c r="AF119" s="232"/>
      <c r="AG119" s="232"/>
      <c r="AH119" s="232"/>
      <c r="AI119" s="232"/>
      <c r="AJ119" s="232"/>
      <c r="AK119" s="233"/>
    </row>
    <row r="120" spans="1:37" ht="13.5" thickBot="1" x14ac:dyDescent="0.25">
      <c r="A120" s="236"/>
      <c r="B120" s="258" t="s">
        <v>613</v>
      </c>
      <c r="C120" s="450"/>
      <c r="D120" s="456"/>
      <c r="E120" s="451"/>
      <c r="F120" s="1074" t="str">
        <f>IF(K64=0,"No se liquida",K64)</f>
        <v>No se liquida</v>
      </c>
      <c r="G120" s="1074"/>
      <c r="H120" s="1081">
        <f>L73*K64</f>
        <v>0</v>
      </c>
      <c r="I120" s="1081"/>
      <c r="J120" s="1081"/>
      <c r="K120" s="1081"/>
      <c r="L120" s="453"/>
      <c r="M120" s="451"/>
      <c r="N120" s="453"/>
      <c r="O120" s="453"/>
      <c r="P120" s="453"/>
      <c r="Q120" s="454"/>
      <c r="R120" s="457"/>
      <c r="S120" s="899"/>
      <c r="T120" s="899"/>
      <c r="U120" s="899"/>
      <c r="V120" s="900"/>
      <c r="W120" s="238"/>
      <c r="X120" s="890" t="s">
        <v>115</v>
      </c>
      <c r="Y120" s="891"/>
      <c r="Z120" s="239"/>
      <c r="AA120" s="232"/>
      <c r="AB120" s="232"/>
      <c r="AC120" s="232"/>
      <c r="AD120" s="232"/>
      <c r="AE120" s="232"/>
      <c r="AF120" s="232"/>
      <c r="AG120" s="232"/>
      <c r="AH120" s="232"/>
      <c r="AI120" s="232"/>
      <c r="AJ120" s="232"/>
      <c r="AK120" s="233"/>
    </row>
    <row r="121" spans="1:37" ht="13.5" thickBot="1" x14ac:dyDescent="0.25">
      <c r="A121" s="236"/>
      <c r="B121" s="258" t="s">
        <v>571</v>
      </c>
      <c r="C121" s="226"/>
      <c r="D121" s="226"/>
      <c r="E121" s="226"/>
      <c r="F121" s="1074">
        <f>IF(E103="NO","No se liquida",K64)</f>
        <v>0</v>
      </c>
      <c r="G121" s="1074"/>
      <c r="H121" s="892">
        <f>IF(E103="NO",,I103*F121)</f>
        <v>0</v>
      </c>
      <c r="I121" s="892"/>
      <c r="J121" s="892"/>
      <c r="K121" s="892"/>
      <c r="L121" s="453"/>
      <c r="M121" s="451"/>
      <c r="N121" s="453"/>
      <c r="O121" s="453"/>
      <c r="P121" s="387"/>
      <c r="Q121" s="458"/>
      <c r="R121" s="459"/>
      <c r="S121" s="899"/>
      <c r="T121" s="899"/>
      <c r="U121" s="899"/>
      <c r="V121" s="900"/>
      <c r="W121" s="238"/>
      <c r="X121" s="253" t="s">
        <v>116</v>
      </c>
      <c r="Y121" s="370">
        <f>ROUNDUP(0.3*C15,0)</f>
        <v>150000</v>
      </c>
      <c r="Z121" s="239"/>
      <c r="AA121" s="232"/>
      <c r="AB121" s="232"/>
      <c r="AC121" s="232"/>
      <c r="AD121" s="232"/>
      <c r="AE121" s="232"/>
      <c r="AF121" s="232"/>
      <c r="AG121" s="232"/>
      <c r="AH121" s="232"/>
      <c r="AI121" s="232"/>
      <c r="AJ121" s="232"/>
      <c r="AK121" s="233"/>
    </row>
    <row r="122" spans="1:37" ht="13.5" thickBot="1" x14ac:dyDescent="0.25">
      <c r="A122" s="236"/>
      <c r="B122" s="1016" t="s">
        <v>731</v>
      </c>
      <c r="C122" s="1166"/>
      <c r="D122" s="1166"/>
      <c r="E122" s="1166"/>
      <c r="F122" s="1166"/>
      <c r="G122" s="460"/>
      <c r="H122" s="1186">
        <f>M122</f>
        <v>0</v>
      </c>
      <c r="I122" s="1186"/>
      <c r="J122" s="1186"/>
      <c r="K122" s="1186"/>
      <c r="L122" s="226"/>
      <c r="M122" s="1191"/>
      <c r="N122" s="1192"/>
      <c r="O122" s="1193"/>
      <c r="P122" s="1213"/>
      <c r="Q122" s="1213"/>
      <c r="R122" s="1213"/>
      <c r="S122" s="1213"/>
      <c r="T122" s="339"/>
      <c r="U122" s="339"/>
      <c r="V122" s="355"/>
      <c r="W122" s="238"/>
      <c r="X122" s="253" t="s">
        <v>117</v>
      </c>
      <c r="Y122" s="370">
        <f>ROUNDUP(0.4*C15,0)</f>
        <v>200000</v>
      </c>
      <c r="Z122" s="239"/>
      <c r="AA122" s="232"/>
      <c r="AB122" s="232"/>
      <c r="AC122" s="232"/>
      <c r="AD122" s="232"/>
      <c r="AE122" s="232"/>
      <c r="AF122" s="232"/>
      <c r="AG122" s="232"/>
      <c r="AH122" s="232"/>
      <c r="AI122" s="232"/>
      <c r="AJ122" s="232"/>
      <c r="AK122" s="233"/>
    </row>
    <row r="123" spans="1:37" ht="13.5" thickBot="1" x14ac:dyDescent="0.25">
      <c r="A123" s="236"/>
      <c r="B123" s="461"/>
      <c r="C123" s="226"/>
      <c r="D123" s="232"/>
      <c r="E123" s="226"/>
      <c r="F123" s="226"/>
      <c r="G123" s="226"/>
      <c r="H123" s="1093" t="s">
        <v>489</v>
      </c>
      <c r="I123" s="1093"/>
      <c r="J123" s="1093"/>
      <c r="K123" s="1093"/>
      <c r="L123" s="1174">
        <f>H118+H119+H120+H121+H122</f>
        <v>0</v>
      </c>
      <c r="M123" s="1174"/>
      <c r="N123" s="1174"/>
      <c r="O123" s="1174"/>
      <c r="P123" s="339"/>
      <c r="Q123" s="232"/>
      <c r="R123" s="339"/>
      <c r="S123" s="339"/>
      <c r="T123" s="339"/>
      <c r="U123" s="339"/>
      <c r="V123" s="355"/>
      <c r="W123" s="238"/>
      <c r="X123" s="253" t="s">
        <v>118</v>
      </c>
      <c r="Y123" s="370">
        <f>ROUNDUP(0.7*C15,0)</f>
        <v>350000</v>
      </c>
      <c r="Z123" s="239"/>
      <c r="AA123" s="232"/>
      <c r="AB123" s="232"/>
      <c r="AC123" s="232"/>
      <c r="AD123" s="232"/>
      <c r="AE123" s="232"/>
      <c r="AF123" s="232"/>
      <c r="AG123" s="232"/>
      <c r="AH123" s="232"/>
      <c r="AI123" s="232"/>
      <c r="AJ123" s="232"/>
      <c r="AK123" s="233"/>
    </row>
    <row r="124" spans="1:37" ht="13.5" thickBot="1" x14ac:dyDescent="0.25">
      <c r="A124" s="236"/>
      <c r="B124" s="461"/>
      <c r="C124" s="226"/>
      <c r="D124" s="226"/>
      <c r="E124" s="226"/>
      <c r="F124" s="226"/>
      <c r="G124" s="226"/>
      <c r="H124" s="452"/>
      <c r="I124" s="424"/>
      <c r="J124" s="226"/>
      <c r="K124" s="226"/>
      <c r="L124" s="226"/>
      <c r="M124" s="226"/>
      <c r="N124" s="226"/>
      <c r="O124" s="226"/>
      <c r="P124" s="339"/>
      <c r="Q124" s="232"/>
      <c r="R124" s="339"/>
      <c r="S124" s="339"/>
      <c r="T124" s="339"/>
      <c r="U124" s="339"/>
      <c r="V124" s="355"/>
      <c r="W124" s="238"/>
      <c r="X124" s="258" t="s">
        <v>119</v>
      </c>
      <c r="Y124" s="449">
        <f>ROUNDUP(1*C15,0)</f>
        <v>500000</v>
      </c>
      <c r="Z124" s="239"/>
      <c r="AA124" s="232"/>
      <c r="AB124" s="232"/>
      <c r="AC124" s="232"/>
      <c r="AD124" s="232"/>
      <c r="AE124" s="232"/>
      <c r="AF124" s="232"/>
      <c r="AG124" s="232"/>
      <c r="AH124" s="232"/>
      <c r="AI124" s="232"/>
      <c r="AJ124" s="232"/>
      <c r="AK124" s="233"/>
    </row>
    <row r="125" spans="1:37" ht="13.5" thickBot="1" x14ac:dyDescent="0.25">
      <c r="A125" s="236"/>
      <c r="B125" s="461"/>
      <c r="C125" s="226"/>
      <c r="D125" s="226"/>
      <c r="E125" s="226"/>
      <c r="F125" s="226"/>
      <c r="G125" s="226"/>
      <c r="H125" s="295" t="s">
        <v>339</v>
      </c>
      <c r="I125" s="462"/>
      <c r="J125" s="226"/>
      <c r="K125" s="226"/>
      <c r="L125" s="1194">
        <f>IF((H114+H115+H116+H118+H119+H120+H121+H122)&gt;S13,H114+H115+H116+H118+H119+H120+H121+H122,S13)</f>
        <v>125000</v>
      </c>
      <c r="M125" s="1195"/>
      <c r="N125" s="1195"/>
      <c r="O125" s="1196"/>
      <c r="P125" s="1135" t="str">
        <f>IF(L125=S13,"Mínimo",".")</f>
        <v>Mínimo</v>
      </c>
      <c r="Q125" s="1135"/>
      <c r="R125" s="226"/>
      <c r="S125" s="226"/>
      <c r="T125" s="447"/>
      <c r="U125" s="447"/>
      <c r="V125" s="463"/>
      <c r="W125" s="238"/>
      <c r="X125" s="890" t="s">
        <v>121</v>
      </c>
      <c r="Y125" s="891"/>
      <c r="Z125" s="239"/>
      <c r="AA125" s="232"/>
      <c r="AB125" s="232"/>
      <c r="AC125" s="232"/>
      <c r="AD125" s="232"/>
      <c r="AE125" s="232"/>
      <c r="AF125" s="232"/>
      <c r="AG125" s="232"/>
      <c r="AH125" s="232"/>
      <c r="AI125" s="232"/>
      <c r="AJ125" s="232"/>
      <c r="AK125" s="233"/>
    </row>
    <row r="126" spans="1:37" ht="13.5" thickBot="1" x14ac:dyDescent="0.25">
      <c r="A126" s="236"/>
      <c r="B126" s="276"/>
      <c r="C126" s="263"/>
      <c r="D126" s="411"/>
      <c r="E126" s="263"/>
      <c r="F126" s="263"/>
      <c r="G126" s="263"/>
      <c r="H126" s="411"/>
      <c r="I126" s="412"/>
      <c r="J126" s="301"/>
      <c r="K126" s="356"/>
      <c r="L126" s="263"/>
      <c r="M126" s="263"/>
      <c r="N126" s="263"/>
      <c r="O126" s="263"/>
      <c r="P126" s="263"/>
      <c r="Q126" s="263"/>
      <c r="R126" s="464"/>
      <c r="S126" s="464"/>
      <c r="T126" s="1172"/>
      <c r="U126" s="1172"/>
      <c r="V126" s="1173"/>
      <c r="W126" s="238"/>
      <c r="X126" s="253" t="s">
        <v>122</v>
      </c>
      <c r="Y126" s="370">
        <f>ROUNDUP(0.08*C15,0)</f>
        <v>40000</v>
      </c>
      <c r="Z126" s="239"/>
      <c r="AA126" s="232"/>
      <c r="AB126" s="232"/>
      <c r="AC126" s="232"/>
      <c r="AD126" s="232"/>
      <c r="AE126" s="232"/>
      <c r="AF126" s="232"/>
      <c r="AG126" s="232"/>
      <c r="AH126" s="232"/>
      <c r="AI126" s="232"/>
      <c r="AJ126" s="232"/>
      <c r="AK126" s="233"/>
    </row>
    <row r="127" spans="1:37" ht="13.5" thickBot="1" x14ac:dyDescent="0.25">
      <c r="A127" s="234">
        <v>13</v>
      </c>
      <c r="B127" s="235" t="s">
        <v>120</v>
      </c>
      <c r="C127" s="236"/>
      <c r="D127" s="238"/>
      <c r="E127" s="236"/>
      <c r="F127" s="236"/>
      <c r="G127" s="236"/>
      <c r="H127" s="238"/>
      <c r="I127" s="416"/>
      <c r="J127" s="327"/>
      <c r="K127" s="328"/>
      <c r="L127" s="328"/>
      <c r="M127" s="238"/>
      <c r="N127" s="328"/>
      <c r="O127" s="328"/>
      <c r="P127" s="328"/>
      <c r="Q127" s="238"/>
      <c r="R127" s="328"/>
      <c r="S127" s="328"/>
      <c r="T127" s="328"/>
      <c r="U127" s="328"/>
      <c r="V127" s="328"/>
      <c r="W127" s="238"/>
      <c r="X127" s="379" t="s">
        <v>123</v>
      </c>
      <c r="Y127" s="370"/>
      <c r="Z127" s="239"/>
      <c r="AA127" s="232"/>
      <c r="AB127" s="232"/>
      <c r="AC127" s="232"/>
      <c r="AD127" s="232"/>
      <c r="AE127" s="232"/>
      <c r="AF127" s="232"/>
      <c r="AG127" s="232"/>
      <c r="AH127" s="232"/>
      <c r="AI127" s="232"/>
      <c r="AJ127" s="232"/>
      <c r="AK127" s="233"/>
    </row>
    <row r="128" spans="1:37" ht="13.5" thickBot="1" x14ac:dyDescent="0.25">
      <c r="A128" s="236"/>
      <c r="B128" s="465" t="str">
        <f>IF(H129&lt;L125,"EL HONORARIO CONVENIDO DEBE SER IGUAL O MAYOR AL HONORARIO TOTAL","")</f>
        <v>EL HONORARIO CONVENIDO DEBE SER IGUAL O MAYOR AL HONORARIO TOTAL</v>
      </c>
      <c r="C128" s="241"/>
      <c r="D128" s="241"/>
      <c r="E128" s="241"/>
      <c r="F128" s="241"/>
      <c r="G128" s="241"/>
      <c r="H128" s="241"/>
      <c r="I128" s="241"/>
      <c r="J128" s="241"/>
      <c r="K128" s="241"/>
      <c r="L128" s="466"/>
      <c r="M128" s="466"/>
      <c r="N128" s="466"/>
      <c r="O128" s="241"/>
      <c r="P128" s="241"/>
      <c r="Q128" s="241"/>
      <c r="R128" s="335"/>
      <c r="S128" s="335"/>
      <c r="T128" s="335"/>
      <c r="U128" s="335"/>
      <c r="V128" s="419"/>
      <c r="W128" s="238"/>
      <c r="X128" s="253" t="s">
        <v>380</v>
      </c>
      <c r="Y128" s="370">
        <f>ROUNDUP(0.6*C15,0)</f>
        <v>300000</v>
      </c>
      <c r="Z128" s="239"/>
      <c r="AA128" s="232"/>
      <c r="AB128" s="232"/>
      <c r="AC128" s="232"/>
      <c r="AD128" s="232"/>
      <c r="AE128" s="232"/>
      <c r="AF128" s="232"/>
      <c r="AG128" s="232"/>
      <c r="AH128" s="232"/>
      <c r="AI128" s="232"/>
      <c r="AJ128" s="232"/>
      <c r="AK128" s="233"/>
    </row>
    <row r="129" spans="1:53" ht="13.5" thickBot="1" x14ac:dyDescent="0.25">
      <c r="A129" s="236"/>
      <c r="B129" s="258" t="s">
        <v>337</v>
      </c>
      <c r="C129" s="226"/>
      <c r="D129" s="232"/>
      <c r="E129" s="226"/>
      <c r="F129" s="226"/>
      <c r="G129" s="226"/>
      <c r="H129" s="1189"/>
      <c r="I129" s="1190"/>
      <c r="J129" s="1190"/>
      <c r="K129" s="1078" t="s">
        <v>483</v>
      </c>
      <c r="L129" s="1079"/>
      <c r="M129" s="1079"/>
      <c r="N129" s="1079"/>
      <c r="O129" s="1079"/>
      <c r="P129" s="1079"/>
      <c r="Q129" s="1079"/>
      <c r="R129" s="1203">
        <f>IF(K59="Reajuste",IF(H129-S59&lt;0,0,H129-S59),H129)</f>
        <v>0</v>
      </c>
      <c r="S129" s="1203"/>
      <c r="T129" s="1203"/>
      <c r="U129" s="1203"/>
      <c r="V129" s="1204"/>
      <c r="W129" s="238"/>
      <c r="X129" s="258" t="s">
        <v>381</v>
      </c>
      <c r="Y129" s="449">
        <f>ROUNDUP(0.2*C15,0)</f>
        <v>100000</v>
      </c>
      <c r="Z129" s="239"/>
      <c r="AA129" s="232"/>
      <c r="AB129" s="232"/>
      <c r="AC129" s="232"/>
      <c r="AD129" s="232"/>
      <c r="AE129" s="232"/>
      <c r="AF129" s="232"/>
      <c r="AG129" s="232"/>
      <c r="AH129" s="232"/>
      <c r="AI129" s="232"/>
      <c r="AJ129" s="232"/>
      <c r="AK129" s="233"/>
    </row>
    <row r="130" spans="1:53" ht="13.5" customHeight="1" thickBot="1" x14ac:dyDescent="0.25">
      <c r="A130" s="236"/>
      <c r="B130" s="258"/>
      <c r="C130" s="226"/>
      <c r="D130" s="226"/>
      <c r="E130" s="448" t="s">
        <v>557</v>
      </c>
      <c r="F130" s="1210" t="str">
        <f>BA130</f>
        <v>CERO CON 00/100</v>
      </c>
      <c r="G130" s="1211"/>
      <c r="H130" s="1211"/>
      <c r="I130" s="1211"/>
      <c r="J130" s="1211"/>
      <c r="K130" s="1211"/>
      <c r="L130" s="1211"/>
      <c r="M130" s="1211"/>
      <c r="N130" s="1211"/>
      <c r="O130" s="1211"/>
      <c r="P130" s="1211"/>
      <c r="Q130" s="1211"/>
      <c r="R130" s="1211"/>
      <c r="S130" s="1211"/>
      <c r="T130" s="1211"/>
      <c r="U130" s="1211"/>
      <c r="V130" s="1212"/>
      <c r="W130" s="238"/>
      <c r="X130" s="691" t="s">
        <v>574</v>
      </c>
      <c r="Y130" s="692"/>
      <c r="Z130" s="239"/>
      <c r="AA130" s="232"/>
      <c r="AB130" s="232"/>
      <c r="AC130" s="232"/>
      <c r="AD130" s="232"/>
      <c r="AE130" s="232"/>
      <c r="AF130" s="232"/>
      <c r="AG130" s="232"/>
      <c r="AH130" s="232"/>
      <c r="AI130" s="232"/>
      <c r="AJ130" s="232"/>
      <c r="AK130" s="233"/>
      <c r="BA130" s="769" t="str">
        <f>Importe!F3</f>
        <v>CERO CON 00/100</v>
      </c>
    </row>
    <row r="131" spans="1:53" ht="13.5" thickBot="1" x14ac:dyDescent="0.25">
      <c r="A131" s="236"/>
      <c r="B131" s="467" t="str">
        <f>IF(L86=0,".",IF(H129&gt;=I86,"","NO CUMPLE HONORARIO MINIMO POR MEDICIÓN"))</f>
        <v>.</v>
      </c>
      <c r="C131" s="263"/>
      <c r="D131" s="263"/>
      <c r="E131" s="263"/>
      <c r="F131" s="263"/>
      <c r="G131" s="263"/>
      <c r="H131" s="767"/>
      <c r="I131" s="263"/>
      <c r="J131" s="301"/>
      <c r="K131" s="356"/>
      <c r="L131" s="356"/>
      <c r="M131" s="263"/>
      <c r="N131" s="356"/>
      <c r="O131" s="768" t="s">
        <v>22</v>
      </c>
      <c r="P131" s="1205" t="s">
        <v>343</v>
      </c>
      <c r="Q131" s="1205"/>
      <c r="R131" s="1205"/>
      <c r="S131" s="1206"/>
      <c r="T131" s="1207">
        <f>H129/R66</f>
        <v>0</v>
      </c>
      <c r="U131" s="1208"/>
      <c r="V131" s="1209"/>
      <c r="W131" s="238"/>
      <c r="X131" s="890" t="s">
        <v>125</v>
      </c>
      <c r="Y131" s="891"/>
      <c r="Z131" s="239"/>
      <c r="AA131" s="232"/>
      <c r="AB131" s="232"/>
      <c r="AC131" s="232"/>
      <c r="AD131" s="232"/>
      <c r="AE131" s="232"/>
      <c r="AF131" s="232"/>
      <c r="AG131" s="232"/>
      <c r="AH131" s="232"/>
      <c r="AI131" s="232"/>
      <c r="AJ131" s="232"/>
      <c r="AK131" s="233"/>
    </row>
    <row r="132" spans="1:53" ht="13.5" thickBot="1" x14ac:dyDescent="0.25">
      <c r="A132" s="234">
        <v>14</v>
      </c>
      <c r="B132" s="235" t="s">
        <v>124</v>
      </c>
      <c r="C132" s="236"/>
      <c r="D132" s="302"/>
      <c r="E132" s="236"/>
      <c r="F132" s="236"/>
      <c r="G132" s="236"/>
      <c r="H132" s="302"/>
      <c r="I132" s="468"/>
      <c r="J132" s="327"/>
      <c r="K132" s="328"/>
      <c r="L132" s="328"/>
      <c r="M132" s="302"/>
      <c r="N132" s="328"/>
      <c r="O132" s="328"/>
      <c r="P132" s="328"/>
      <c r="Q132" s="302"/>
      <c r="R132" s="328"/>
      <c r="S132" s="328"/>
      <c r="T132" s="328"/>
      <c r="U132" s="328"/>
      <c r="V132" s="328"/>
      <c r="W132" s="238"/>
      <c r="X132" s="253" t="s">
        <v>126</v>
      </c>
      <c r="Y132" s="370">
        <f>ROUNDUP(1.2*C15,0)</f>
        <v>600000</v>
      </c>
      <c r="Z132" s="239"/>
      <c r="AA132" s="232"/>
      <c r="AB132" s="232"/>
      <c r="AC132" s="232"/>
      <c r="AD132" s="232"/>
      <c r="AE132" s="232"/>
      <c r="AF132" s="232"/>
      <c r="AG132" s="232"/>
      <c r="AH132" s="232"/>
      <c r="AI132" s="232"/>
      <c r="AJ132" s="232"/>
      <c r="AK132" s="233"/>
    </row>
    <row r="133" spans="1:53" ht="13.5" thickBot="1" x14ac:dyDescent="0.25">
      <c r="A133" s="236"/>
      <c r="B133" s="240"/>
      <c r="C133" s="241"/>
      <c r="D133" s="333"/>
      <c r="E133" s="241"/>
      <c r="F133" s="241"/>
      <c r="G133" s="241"/>
      <c r="H133" s="333"/>
      <c r="I133" s="334"/>
      <c r="J133" s="307"/>
      <c r="K133" s="335"/>
      <c r="L133" s="335"/>
      <c r="M133" s="333"/>
      <c r="N133" s="335"/>
      <c r="O133" s="335"/>
      <c r="P133" s="335"/>
      <c r="Q133" s="333"/>
      <c r="R133" s="335"/>
      <c r="S133" s="335"/>
      <c r="T133" s="335"/>
      <c r="U133" s="335"/>
      <c r="V133" s="419"/>
      <c r="W133" s="238"/>
      <c r="X133" s="258" t="s">
        <v>128</v>
      </c>
      <c r="Y133" s="449">
        <f>ROUNDUP(1.4*C15,0)</f>
        <v>700000</v>
      </c>
      <c r="Z133" s="239"/>
      <c r="AA133" s="232"/>
      <c r="AB133" s="232"/>
      <c r="AC133" s="232"/>
      <c r="AD133" s="232"/>
      <c r="AE133" s="232"/>
      <c r="AF133" s="232"/>
      <c r="AG133" s="232"/>
      <c r="AH133" s="232"/>
      <c r="AI133" s="232"/>
      <c r="AJ133" s="232"/>
      <c r="AK133" s="233"/>
    </row>
    <row r="134" spans="1:53" ht="13.5" thickBot="1" x14ac:dyDescent="0.25">
      <c r="A134" s="236"/>
      <c r="B134" s="258" t="s">
        <v>127</v>
      </c>
      <c r="C134" s="226"/>
      <c r="D134" s="232"/>
      <c r="E134" s="226"/>
      <c r="F134" s="226"/>
      <c r="G134" s="226"/>
      <c r="H134" s="1199"/>
      <c r="I134" s="1200"/>
      <c r="J134" s="1200"/>
      <c r="K134" s="1200"/>
      <c r="L134" s="1192"/>
      <c r="M134" s="1192"/>
      <c r="N134" s="1193"/>
      <c r="O134" s="1133" t="s">
        <v>464</v>
      </c>
      <c r="P134" s="1134"/>
      <c r="Q134" s="1134"/>
      <c r="R134" s="1134"/>
      <c r="S134" s="1134"/>
      <c r="T134" s="1187">
        <f>ROUNDUP((IF(K59="Reajuste",R129,IF(AJ45&gt;0,H114+H115+H116,H129))),0)</f>
        <v>0</v>
      </c>
      <c r="U134" s="1187"/>
      <c r="V134" s="1188"/>
      <c r="W134" s="238"/>
      <c r="X134" s="890" t="s">
        <v>129</v>
      </c>
      <c r="Y134" s="891"/>
      <c r="Z134" s="239"/>
      <c r="AA134" s="232"/>
      <c r="AB134" s="232"/>
      <c r="AC134" s="232"/>
      <c r="AD134" s="232"/>
      <c r="AE134" s="232"/>
      <c r="AF134" s="232"/>
      <c r="AG134" s="232"/>
      <c r="AH134" s="232"/>
      <c r="AI134" s="232"/>
      <c r="AJ134" s="232"/>
      <c r="AK134" s="233"/>
    </row>
    <row r="135" spans="1:53" ht="13.5" thickBot="1" x14ac:dyDescent="0.25">
      <c r="A135" s="236"/>
      <c r="B135" s="1197" t="str">
        <f>CONCATENATE(AB67,AB68)</f>
        <v>..</v>
      </c>
      <c r="C135" s="1198"/>
      <c r="D135" s="1198"/>
      <c r="E135" s="1198"/>
      <c r="F135" s="1198"/>
      <c r="G135" s="1198"/>
      <c r="H135" s="1198"/>
      <c r="I135" s="1198"/>
      <c r="J135" s="1198"/>
      <c r="K135" s="339"/>
      <c r="L135" s="1119" t="e">
        <f>H134/H129</f>
        <v>#DIV/0!</v>
      </c>
      <c r="M135" s="1120"/>
      <c r="N135" s="1121"/>
      <c r="O135" s="1201" t="str">
        <f>IF(H134=T134,"",IF(K59="Reajuste","LO LIQUID. DEBE SER IGUAL AL MÍNIMO",""))</f>
        <v/>
      </c>
      <c r="P135" s="1201"/>
      <c r="Q135" s="1201"/>
      <c r="R135" s="1201"/>
      <c r="S135" s="1201"/>
      <c r="T135" s="1201"/>
      <c r="U135" s="1201"/>
      <c r="V135" s="1202"/>
      <c r="W135" s="238"/>
      <c r="X135" s="253" t="s">
        <v>130</v>
      </c>
      <c r="Y135" s="370">
        <f>ROUNDUP(0.15*C15,0)</f>
        <v>75000</v>
      </c>
      <c r="Z135" s="239"/>
      <c r="AA135" s="232"/>
      <c r="AB135" s="232"/>
      <c r="AC135" s="232"/>
      <c r="AD135" s="232"/>
      <c r="AE135" s="232"/>
      <c r="AF135" s="232"/>
      <c r="AG135" s="232"/>
      <c r="AH135" s="232"/>
      <c r="AI135" s="232"/>
      <c r="AJ135" s="232"/>
      <c r="AK135" s="233"/>
    </row>
    <row r="136" spans="1:53" ht="13.5" thickBot="1" x14ac:dyDescent="0.25">
      <c r="A136" s="772"/>
      <c r="B136" s="258"/>
      <c r="C136" s="3"/>
      <c r="D136" s="226"/>
      <c r="E136" s="448" t="s">
        <v>557</v>
      </c>
      <c r="F136" s="1110" t="str">
        <f>BA136</f>
        <v>CERO CON 00/100</v>
      </c>
      <c r="G136" s="1110"/>
      <c r="H136" s="1110"/>
      <c r="I136" s="1110"/>
      <c r="J136" s="1110"/>
      <c r="K136" s="1110"/>
      <c r="L136" s="1110"/>
      <c r="M136" s="1110"/>
      <c r="N136" s="1110"/>
      <c r="O136" s="1110"/>
      <c r="P136" s="1110"/>
      <c r="Q136" s="1110"/>
      <c r="R136" s="1110"/>
      <c r="S136" s="1110"/>
      <c r="T136" s="1110"/>
      <c r="U136" s="1110"/>
      <c r="V136" s="1110"/>
      <c r="W136" s="238"/>
      <c r="X136" s="258" t="s">
        <v>132</v>
      </c>
      <c r="Y136" s="449">
        <f>ROUNDUP(0.2*C15,0)</f>
        <v>100000</v>
      </c>
      <c r="Z136" s="239"/>
      <c r="AA136" s="232"/>
      <c r="AB136" s="232"/>
      <c r="AC136" s="232"/>
      <c r="AD136" s="232"/>
      <c r="AE136" s="232"/>
      <c r="AF136" s="232"/>
      <c r="AG136" s="232"/>
      <c r="AH136" s="232"/>
      <c r="AI136" s="232"/>
      <c r="AJ136" s="232"/>
      <c r="AK136" s="233"/>
      <c r="BA136" s="769" t="str">
        <f>Importe!T23</f>
        <v>CERO CON 00/100</v>
      </c>
    </row>
    <row r="137" spans="1:53" ht="13.5" thickBot="1" x14ac:dyDescent="0.25">
      <c r="A137" s="236"/>
      <c r="B137" s="1140" t="s">
        <v>131</v>
      </c>
      <c r="C137" s="1076"/>
      <c r="D137" s="1076"/>
      <c r="E137" s="1076"/>
      <c r="F137" s="1076"/>
      <c r="G137" s="1141"/>
      <c r="H137" s="1145"/>
      <c r="I137" s="1131"/>
      <c r="J137" s="1131"/>
      <c r="K137" s="1131"/>
      <c r="L137" s="1131"/>
      <c r="M137" s="1131"/>
      <c r="N137" s="1131"/>
      <c r="O137" s="1131"/>
      <c r="P137" s="1131"/>
      <c r="Q137" s="1131"/>
      <c r="R137" s="1131"/>
      <c r="S137" s="1131"/>
      <c r="T137" s="1131"/>
      <c r="U137" s="1131"/>
      <c r="V137" s="1146"/>
      <c r="W137" s="238"/>
      <c r="X137" s="274" t="s">
        <v>701</v>
      </c>
      <c r="Y137" s="817">
        <f>ROUNDUP(1*C15,0)</f>
        <v>500000</v>
      </c>
      <c r="Z137" s="239"/>
      <c r="AA137" s="232"/>
      <c r="AB137" s="232"/>
      <c r="AC137" s="232"/>
      <c r="AD137" s="232"/>
      <c r="AE137" s="232"/>
      <c r="AF137" s="232"/>
      <c r="AG137" s="232"/>
      <c r="AH137" s="232"/>
      <c r="AI137" s="232"/>
      <c r="AJ137" s="232"/>
      <c r="AK137" s="233"/>
    </row>
    <row r="138" spans="1:53" ht="13.5" thickBot="1" x14ac:dyDescent="0.25">
      <c r="A138" s="236"/>
      <c r="B138" s="469" t="s">
        <v>133</v>
      </c>
      <c r="C138" s="226"/>
      <c r="D138" s="226"/>
      <c r="E138" s="1118" t="e">
        <f>H138/H129</f>
        <v>#DIV/0!</v>
      </c>
      <c r="F138" s="1118"/>
      <c r="G138" s="226"/>
      <c r="H138" s="1150">
        <f>H129-H134</f>
        <v>0</v>
      </c>
      <c r="I138" s="1151"/>
      <c r="J138" s="1151"/>
      <c r="K138" s="470"/>
      <c r="L138" s="471"/>
      <c r="M138" s="471"/>
      <c r="N138" s="471"/>
      <c r="O138" s="472"/>
      <c r="P138" s="472"/>
      <c r="Q138" s="228"/>
      <c r="R138" s="228"/>
      <c r="S138" s="228"/>
      <c r="T138" s="472"/>
      <c r="U138" s="472"/>
      <c r="V138" s="473"/>
      <c r="W138" s="238"/>
      <c r="X138" s="890" t="s">
        <v>134</v>
      </c>
      <c r="Y138" s="891"/>
      <c r="Z138" s="239"/>
      <c r="AA138" s="232"/>
      <c r="AB138" s="232"/>
      <c r="AC138" s="232"/>
      <c r="AD138" s="232"/>
      <c r="AE138" s="232"/>
      <c r="AF138" s="232"/>
      <c r="AG138" s="232"/>
      <c r="AH138" s="232"/>
      <c r="AI138" s="232"/>
      <c r="AJ138" s="232"/>
      <c r="AK138" s="233"/>
    </row>
    <row r="139" spans="1:53" ht="13.5" thickBot="1" x14ac:dyDescent="0.25">
      <c r="A139" s="236"/>
      <c r="B139" s="1140" t="s">
        <v>131</v>
      </c>
      <c r="C139" s="1076"/>
      <c r="D139" s="1076"/>
      <c r="E139" s="1076"/>
      <c r="F139" s="1076"/>
      <c r="G139" s="1141"/>
      <c r="H139" s="1147"/>
      <c r="I139" s="1148"/>
      <c r="J139" s="1148"/>
      <c r="K139" s="1148"/>
      <c r="L139" s="1148"/>
      <c r="M139" s="1148"/>
      <c r="N139" s="1148"/>
      <c r="O139" s="1148"/>
      <c r="P139" s="1148"/>
      <c r="Q139" s="1148"/>
      <c r="R139" s="1148"/>
      <c r="S139" s="1148"/>
      <c r="T139" s="1148"/>
      <c r="U139" s="1148"/>
      <c r="V139" s="1149"/>
      <c r="W139" s="238"/>
      <c r="X139" s="735" t="s">
        <v>673</v>
      </c>
      <c r="Y139" s="449">
        <f>ROUNDUP(0.36*C15,0)</f>
        <v>180000</v>
      </c>
      <c r="Z139" s="239"/>
      <c r="AA139" s="232"/>
      <c r="AB139" s="232"/>
      <c r="AC139" s="232"/>
      <c r="AD139" s="232"/>
      <c r="AE139" s="232"/>
      <c r="AF139" s="232"/>
      <c r="AG139" s="232"/>
      <c r="AH139" s="232"/>
      <c r="AI139" s="232"/>
      <c r="AJ139" s="232"/>
      <c r="AK139" s="233"/>
    </row>
    <row r="140" spans="1:53" ht="13.5" thickBot="1" x14ac:dyDescent="0.25">
      <c r="A140" s="236"/>
      <c r="B140" s="262"/>
      <c r="C140" s="263"/>
      <c r="D140" s="411"/>
      <c r="E140" s="263"/>
      <c r="F140" s="263"/>
      <c r="G140" s="263"/>
      <c r="H140" s="411"/>
      <c r="I140" s="412"/>
      <c r="J140" s="301"/>
      <c r="K140" s="356"/>
      <c r="L140" s="356"/>
      <c r="M140" s="411"/>
      <c r="N140" s="356"/>
      <c r="O140" s="356"/>
      <c r="P140" s="356"/>
      <c r="Q140" s="411"/>
      <c r="R140" s="356"/>
      <c r="S140" s="356"/>
      <c r="T140" s="356"/>
      <c r="U140" s="356"/>
      <c r="V140" s="413"/>
      <c r="W140" s="238"/>
      <c r="X140" s="736" t="s">
        <v>674</v>
      </c>
      <c r="Y140" s="449">
        <f>ROUNDUP(0.08*C15,0)</f>
        <v>40000</v>
      </c>
      <c r="Z140" s="239"/>
      <c r="AA140" s="232"/>
      <c r="AB140" s="232"/>
      <c r="AC140" s="232"/>
      <c r="AD140" s="232"/>
      <c r="AE140" s="232"/>
      <c r="AF140" s="232"/>
      <c r="AG140" s="232"/>
      <c r="AH140" s="232"/>
      <c r="AI140" s="232"/>
      <c r="AJ140" s="232"/>
      <c r="AK140" s="233"/>
    </row>
    <row r="141" spans="1:53" ht="13.5" thickBot="1" x14ac:dyDescent="0.25">
      <c r="A141" s="234">
        <v>15</v>
      </c>
      <c r="B141" s="235" t="s">
        <v>135</v>
      </c>
      <c r="C141" s="236"/>
      <c r="D141" s="236"/>
      <c r="E141" s="236"/>
      <c r="F141" s="236"/>
      <c r="G141" s="236"/>
      <c r="H141" s="236"/>
      <c r="I141" s="236"/>
      <c r="J141" s="235"/>
      <c r="K141" s="238"/>
      <c r="L141" s="236"/>
      <c r="M141" s="236"/>
      <c r="N141" s="236"/>
      <c r="O141" s="236"/>
      <c r="P141" s="236"/>
      <c r="Q141" s="236"/>
      <c r="R141" s="236"/>
      <c r="S141" s="236"/>
      <c r="T141" s="236"/>
      <c r="U141" s="236"/>
      <c r="V141" s="236"/>
      <c r="W141" s="238"/>
      <c r="X141" s="253" t="s">
        <v>675</v>
      </c>
      <c r="Y141" s="449">
        <f>ROUNDUP(0.08*C15,0)</f>
        <v>40000</v>
      </c>
      <c r="Z141" s="239"/>
      <c r="AA141" s="232"/>
      <c r="AB141" s="232"/>
      <c r="AC141" s="232"/>
      <c r="AD141" s="232"/>
      <c r="AE141" s="232"/>
      <c r="AF141" s="232"/>
      <c r="AG141" s="232"/>
      <c r="AH141" s="232"/>
      <c r="AI141" s="232"/>
      <c r="AJ141" s="232"/>
      <c r="AK141" s="233"/>
    </row>
    <row r="142" spans="1:53" ht="13.5" thickBot="1" x14ac:dyDescent="0.25">
      <c r="A142" s="238"/>
      <c r="B142" s="478" t="s">
        <v>248</v>
      </c>
      <c r="C142" s="241"/>
      <c r="D142" s="241"/>
      <c r="E142" s="241"/>
      <c r="F142" s="241"/>
      <c r="G142" s="241"/>
      <c r="H142" s="241"/>
      <c r="I142" s="266" t="s">
        <v>247</v>
      </c>
      <c r="J142" s="479"/>
      <c r="K142" s="1112"/>
      <c r="L142" s="1113"/>
      <c r="M142" s="1113"/>
      <c r="N142" s="1113"/>
      <c r="O142" s="1113"/>
      <c r="P142" s="1113"/>
      <c r="Q142" s="1113"/>
      <c r="R142" s="1113"/>
      <c r="S142" s="1113"/>
      <c r="T142" s="1113"/>
      <c r="U142" s="1113"/>
      <c r="V142" s="1114"/>
      <c r="W142" s="238"/>
      <c r="X142" s="253" t="s">
        <v>676</v>
      </c>
      <c r="Y142" s="737" t="s">
        <v>677</v>
      </c>
      <c r="Z142" s="239"/>
      <c r="AA142" s="232"/>
      <c r="AB142" s="232"/>
      <c r="AC142" s="232"/>
      <c r="AD142" s="232"/>
      <c r="AE142" s="232"/>
      <c r="AF142" s="232"/>
      <c r="AG142" s="232"/>
      <c r="AH142" s="232"/>
      <c r="AI142" s="232"/>
      <c r="AJ142" s="232"/>
      <c r="AK142" s="233"/>
    </row>
    <row r="143" spans="1:53" ht="13.5" thickBot="1" x14ac:dyDescent="0.25">
      <c r="A143" s="238"/>
      <c r="B143" s="244"/>
      <c r="C143" s="384" t="s">
        <v>136</v>
      </c>
      <c r="D143" s="226"/>
      <c r="E143" s="226"/>
      <c r="F143" s="226"/>
      <c r="G143" s="226" t="s">
        <v>614</v>
      </c>
      <c r="H143" s="226"/>
      <c r="I143" s="226"/>
      <c r="J143" s="295"/>
      <c r="K143" s="1104"/>
      <c r="L143" s="957"/>
      <c r="M143" s="957"/>
      <c r="N143" s="957"/>
      <c r="O143" s="957"/>
      <c r="P143" s="957"/>
      <c r="Q143" s="957"/>
      <c r="R143" s="957"/>
      <c r="S143" s="957"/>
      <c r="T143" s="957"/>
      <c r="U143" s="957"/>
      <c r="V143" s="958"/>
      <c r="W143" s="238"/>
      <c r="X143" s="815" t="s">
        <v>678</v>
      </c>
      <c r="Y143" s="816"/>
      <c r="Z143" s="239"/>
      <c r="AA143" s="232"/>
      <c r="AB143" s="232"/>
      <c r="AC143" s="232"/>
      <c r="AD143" s="232"/>
      <c r="AE143" s="232"/>
      <c r="AF143" s="232"/>
      <c r="AG143" s="232"/>
      <c r="AH143" s="232"/>
      <c r="AI143" s="232"/>
      <c r="AJ143" s="232"/>
      <c r="AK143" s="233"/>
    </row>
    <row r="144" spans="1:53" x14ac:dyDescent="0.2">
      <c r="A144" s="238"/>
      <c r="B144" s="461"/>
      <c r="C144" s="226"/>
      <c r="D144" s="226"/>
      <c r="E144" s="226"/>
      <c r="F144" s="226"/>
      <c r="G144" s="226"/>
      <c r="H144" s="226"/>
      <c r="I144" s="251" t="s">
        <v>137</v>
      </c>
      <c r="J144" s="295"/>
      <c r="K144" s="1104"/>
      <c r="L144" s="957"/>
      <c r="M144" s="957"/>
      <c r="N144" s="957"/>
      <c r="O144" s="957"/>
      <c r="P144" s="957"/>
      <c r="Q144" s="957"/>
      <c r="R144" s="957"/>
      <c r="S144" s="957"/>
      <c r="T144" s="957"/>
      <c r="U144" s="957"/>
      <c r="V144" s="958"/>
      <c r="W144" s="238"/>
      <c r="X144" s="474" t="s">
        <v>619</v>
      </c>
      <c r="Y144" s="475"/>
      <c r="Z144" s="239"/>
      <c r="AA144" s="232"/>
      <c r="AB144" s="232"/>
      <c r="AC144" s="232"/>
      <c r="AD144" s="232"/>
      <c r="AE144" s="232"/>
      <c r="AF144" s="232"/>
      <c r="AG144" s="232"/>
      <c r="AH144" s="232"/>
      <c r="AI144" s="232"/>
      <c r="AJ144" s="232"/>
      <c r="AK144" s="233"/>
    </row>
    <row r="145" spans="1:37" ht="13.5" thickBot="1" x14ac:dyDescent="0.25">
      <c r="A145" s="238"/>
      <c r="B145" s="1116" t="s">
        <v>493</v>
      </c>
      <c r="C145" s="1117"/>
      <c r="D145" s="1117"/>
      <c r="E145" s="1117"/>
      <c r="F145" s="1117"/>
      <c r="G145" s="1177">
        <f>ROUND(H129/10,2)</f>
        <v>0</v>
      </c>
      <c r="H145" s="1177"/>
      <c r="I145" s="1177"/>
      <c r="J145" s="301"/>
      <c r="K145" s="1142"/>
      <c r="L145" s="1143"/>
      <c r="M145" s="1143"/>
      <c r="N145" s="1143"/>
      <c r="O145" s="1143"/>
      <c r="P145" s="1143"/>
      <c r="Q145" s="1143"/>
      <c r="R145" s="1143"/>
      <c r="S145" s="1143"/>
      <c r="T145" s="1143"/>
      <c r="U145" s="1143"/>
      <c r="V145" s="1144"/>
      <c r="W145" s="234"/>
      <c r="X145" s="476" t="s">
        <v>708</v>
      </c>
      <c r="Y145" s="477"/>
      <c r="Z145" s="239"/>
      <c r="AA145" s="232"/>
      <c r="AB145" s="232"/>
      <c r="AC145" s="232"/>
      <c r="AD145" s="232"/>
      <c r="AE145" s="232"/>
      <c r="AF145" s="232"/>
      <c r="AG145" s="232"/>
      <c r="AH145" s="232"/>
      <c r="AI145" s="232"/>
      <c r="AJ145" s="232"/>
      <c r="AK145" s="233"/>
    </row>
    <row r="146" spans="1:37" x14ac:dyDescent="0.2">
      <c r="A146" s="238"/>
      <c r="B146" s="478" t="s">
        <v>249</v>
      </c>
      <c r="C146" s="241"/>
      <c r="D146" s="241"/>
      <c r="E146" s="241"/>
      <c r="F146" s="241"/>
      <c r="G146" s="241"/>
      <c r="H146" s="241"/>
      <c r="I146" s="266" t="s">
        <v>247</v>
      </c>
      <c r="J146" s="307"/>
      <c r="K146" s="1112"/>
      <c r="L146" s="1113"/>
      <c r="M146" s="1113"/>
      <c r="N146" s="1113"/>
      <c r="O146" s="1113"/>
      <c r="P146" s="1113"/>
      <c r="Q146" s="1113"/>
      <c r="R146" s="1113"/>
      <c r="S146" s="1113"/>
      <c r="T146" s="1113"/>
      <c r="U146" s="1113"/>
      <c r="V146" s="1114"/>
      <c r="W146" s="238"/>
      <c r="X146" s="476" t="s">
        <v>382</v>
      </c>
      <c r="Y146" s="477"/>
      <c r="Z146" s="239"/>
      <c r="AA146" s="232"/>
      <c r="AB146" s="232"/>
      <c r="AC146" s="232"/>
      <c r="AD146" s="232"/>
      <c r="AE146" s="232"/>
      <c r="AF146" s="232"/>
      <c r="AG146" s="232"/>
      <c r="AH146" s="232"/>
      <c r="AI146" s="232"/>
      <c r="AJ146" s="232"/>
      <c r="AK146" s="233"/>
    </row>
    <row r="147" spans="1:37" x14ac:dyDescent="0.2">
      <c r="A147" s="238"/>
      <c r="B147" s="244"/>
      <c r="C147" s="384" t="s">
        <v>136</v>
      </c>
      <c r="D147" s="226"/>
      <c r="E147" s="226"/>
      <c r="F147" s="226"/>
      <c r="G147" s="226" t="s">
        <v>614</v>
      </c>
      <c r="H147" s="226"/>
      <c r="I147" s="226"/>
      <c r="J147" s="295"/>
      <c r="K147" s="1104"/>
      <c r="L147" s="957"/>
      <c r="M147" s="957"/>
      <c r="N147" s="957"/>
      <c r="O147" s="957"/>
      <c r="P147" s="957"/>
      <c r="Q147" s="957"/>
      <c r="R147" s="957"/>
      <c r="S147" s="957"/>
      <c r="T147" s="957"/>
      <c r="U147" s="957"/>
      <c r="V147" s="958"/>
      <c r="W147" s="238"/>
      <c r="X147" s="235"/>
      <c r="Y147" s="238"/>
      <c r="Z147" s="239"/>
      <c r="AA147" s="232"/>
      <c r="AB147" s="232"/>
      <c r="AC147" s="232"/>
      <c r="AD147" s="232"/>
      <c r="AE147" s="232"/>
      <c r="AF147" s="232"/>
      <c r="AG147" s="232"/>
      <c r="AH147" s="232"/>
      <c r="AI147" s="232"/>
      <c r="AJ147" s="232"/>
      <c r="AK147" s="233"/>
    </row>
    <row r="148" spans="1:37" x14ac:dyDescent="0.2">
      <c r="A148" s="238"/>
      <c r="B148" s="461"/>
      <c r="C148" s="226"/>
      <c r="D148" s="226"/>
      <c r="E148" s="226"/>
      <c r="F148" s="226"/>
      <c r="G148" s="226"/>
      <c r="H148" s="226"/>
      <c r="I148" s="251" t="s">
        <v>137</v>
      </c>
      <c r="J148" s="295"/>
      <c r="K148" s="1104"/>
      <c r="L148" s="957"/>
      <c r="M148" s="957"/>
      <c r="N148" s="957"/>
      <c r="O148" s="957"/>
      <c r="P148" s="957"/>
      <c r="Q148" s="957"/>
      <c r="R148" s="957"/>
      <c r="S148" s="957"/>
      <c r="T148" s="957"/>
      <c r="U148" s="957"/>
      <c r="V148" s="958"/>
      <c r="W148" s="238"/>
      <c r="X148" s="3"/>
      <c r="Y148" s="766"/>
      <c r="Z148" s="239"/>
      <c r="AA148" s="232"/>
      <c r="AB148" s="232"/>
      <c r="AC148" s="232"/>
      <c r="AD148" s="232"/>
      <c r="AE148" s="232"/>
      <c r="AF148" s="232"/>
      <c r="AG148" s="232"/>
      <c r="AH148" s="232"/>
      <c r="AI148" s="232"/>
      <c r="AJ148" s="232"/>
      <c r="AK148" s="233"/>
    </row>
    <row r="149" spans="1:37" ht="13.5" thickBot="1" x14ac:dyDescent="0.25">
      <c r="A149" s="238"/>
      <c r="B149" s="1116" t="s">
        <v>492</v>
      </c>
      <c r="C149" s="1117"/>
      <c r="D149" s="1117"/>
      <c r="E149" s="1117"/>
      <c r="F149" s="1117"/>
      <c r="G149" s="1177">
        <f>ROUND(IF(K145&gt;=G145,0,G145-K145),2)</f>
        <v>0</v>
      </c>
      <c r="H149" s="1177"/>
      <c r="I149" s="1177"/>
      <c r="J149" s="301"/>
      <c r="K149" s="1122"/>
      <c r="L149" s="1123"/>
      <c r="M149" s="1123"/>
      <c r="N149" s="1123"/>
      <c r="O149" s="1123"/>
      <c r="P149" s="1123"/>
      <c r="Q149" s="1123"/>
      <c r="R149" s="1123"/>
      <c r="S149" s="1123"/>
      <c r="T149" s="1123"/>
      <c r="U149" s="1123"/>
      <c r="V149" s="1124"/>
      <c r="W149" s="238"/>
      <c r="X149" s="295"/>
      <c r="Y149" s="766"/>
      <c r="Z149" s="480"/>
      <c r="AA149" s="232"/>
      <c r="AB149" s="232"/>
      <c r="AC149" s="232"/>
      <c r="AD149" s="232"/>
      <c r="AE149" s="232"/>
      <c r="AF149" s="232"/>
      <c r="AG149" s="232"/>
      <c r="AH149" s="232"/>
      <c r="AI149" s="232"/>
      <c r="AJ149" s="232"/>
      <c r="AK149" s="233"/>
    </row>
    <row r="150" spans="1:37" x14ac:dyDescent="0.2">
      <c r="A150" s="238"/>
      <c r="B150" s="478" t="s">
        <v>491</v>
      </c>
      <c r="C150" s="241"/>
      <c r="D150" s="241"/>
      <c r="E150" s="241"/>
      <c r="F150" s="241"/>
      <c r="G150" s="241"/>
      <c r="H150" s="241"/>
      <c r="I150" s="266" t="s">
        <v>247</v>
      </c>
      <c r="J150" s="307"/>
      <c r="K150" s="1112"/>
      <c r="L150" s="1113"/>
      <c r="M150" s="1113"/>
      <c r="N150" s="1113"/>
      <c r="O150" s="1113"/>
      <c r="P150" s="1113"/>
      <c r="Q150" s="1113"/>
      <c r="R150" s="1113"/>
      <c r="S150" s="1113"/>
      <c r="T150" s="1113"/>
      <c r="U150" s="1113"/>
      <c r="V150" s="1114"/>
      <c r="W150" s="234"/>
      <c r="X150" s="295"/>
      <c r="Y150" s="766"/>
      <c r="Z150" s="239"/>
      <c r="AA150" s="232"/>
      <c r="AB150" s="232"/>
      <c r="AC150" s="232"/>
      <c r="AD150" s="232"/>
      <c r="AE150" s="232"/>
      <c r="AF150" s="232"/>
      <c r="AG150" s="232"/>
      <c r="AH150" s="232"/>
      <c r="AI150" s="232"/>
      <c r="AJ150" s="232"/>
      <c r="AK150" s="233"/>
    </row>
    <row r="151" spans="1:37" x14ac:dyDescent="0.2">
      <c r="A151" s="238"/>
      <c r="B151" s="244"/>
      <c r="C151" s="384" t="s">
        <v>136</v>
      </c>
      <c r="D151" s="226"/>
      <c r="E151" s="226"/>
      <c r="F151" s="226"/>
      <c r="G151" s="226" t="s">
        <v>614</v>
      </c>
      <c r="H151" s="226"/>
      <c r="I151" s="226"/>
      <c r="J151" s="295"/>
      <c r="K151" s="1104"/>
      <c r="L151" s="957"/>
      <c r="M151" s="957"/>
      <c r="N151" s="957"/>
      <c r="O151" s="957"/>
      <c r="P151" s="957"/>
      <c r="Q151" s="957"/>
      <c r="R151" s="957"/>
      <c r="S151" s="957"/>
      <c r="T151" s="957"/>
      <c r="U151" s="957"/>
      <c r="V151" s="958"/>
      <c r="W151" s="238"/>
      <c r="X151" s="765"/>
      <c r="Y151" s="232"/>
      <c r="Z151" s="239"/>
      <c r="AA151" s="232"/>
      <c r="AB151" s="232"/>
      <c r="AC151" s="232"/>
      <c r="AD151" s="232"/>
      <c r="AE151" s="232"/>
      <c r="AF151" s="232"/>
      <c r="AG151" s="232"/>
      <c r="AH151" s="232"/>
      <c r="AI151" s="232"/>
      <c r="AJ151" s="232"/>
      <c r="AK151" s="233"/>
    </row>
    <row r="152" spans="1:37" x14ac:dyDescent="0.2">
      <c r="A152" s="238"/>
      <c r="B152" s="461"/>
      <c r="C152" s="226"/>
      <c r="D152" s="226"/>
      <c r="E152" s="226"/>
      <c r="F152" s="226"/>
      <c r="G152" s="226"/>
      <c r="H152" s="226"/>
      <c r="I152" s="251" t="s">
        <v>137</v>
      </c>
      <c r="J152" s="295"/>
      <c r="K152" s="1104"/>
      <c r="L152" s="957"/>
      <c r="M152" s="957"/>
      <c r="N152" s="957"/>
      <c r="O152" s="957"/>
      <c r="P152" s="957"/>
      <c r="Q152" s="957"/>
      <c r="R152" s="957"/>
      <c r="S152" s="957"/>
      <c r="T152" s="957"/>
      <c r="U152" s="957"/>
      <c r="V152" s="958"/>
      <c r="W152" s="238"/>
      <c r="X152" s="232"/>
      <c r="Y152" s="232"/>
      <c r="Z152" s="239"/>
      <c r="AA152" s="232"/>
      <c r="AB152" s="232"/>
      <c r="AC152" s="232"/>
      <c r="AD152" s="232"/>
      <c r="AE152" s="232"/>
      <c r="AF152" s="232"/>
      <c r="AG152" s="232"/>
      <c r="AH152" s="232"/>
      <c r="AI152" s="232"/>
      <c r="AJ152" s="232"/>
      <c r="AK152" s="233"/>
    </row>
    <row r="153" spans="1:37" x14ac:dyDescent="0.2">
      <c r="A153" s="238"/>
      <c r="B153" s="1175" t="s">
        <v>625</v>
      </c>
      <c r="C153" s="1176"/>
      <c r="D153" s="1176"/>
      <c r="E153" s="1176"/>
      <c r="F153" s="1176"/>
      <c r="G153" s="1168">
        <f>ROUND(L90*0.1,1)</f>
        <v>0</v>
      </c>
      <c r="H153" s="1168"/>
      <c r="I153" s="1168"/>
      <c r="J153" s="295"/>
      <c r="K153" s="1169"/>
      <c r="L153" s="1170"/>
      <c r="M153" s="1170"/>
      <c r="N153" s="1170"/>
      <c r="O153" s="1170"/>
      <c r="P153" s="1170"/>
      <c r="Q153" s="1170"/>
      <c r="R153" s="1170"/>
      <c r="S153" s="1170"/>
      <c r="T153" s="1170"/>
      <c r="U153" s="1170"/>
      <c r="V153" s="1171"/>
      <c r="W153" s="238"/>
      <c r="X153" s="295"/>
      <c r="Y153" s="766"/>
      <c r="Z153" s="239"/>
      <c r="AA153" s="232"/>
      <c r="AB153" s="232"/>
      <c r="AC153" s="232"/>
      <c r="AD153" s="232"/>
      <c r="AE153" s="232"/>
      <c r="AF153" s="232"/>
      <c r="AG153" s="232"/>
      <c r="AH153" s="232"/>
      <c r="AI153" s="232"/>
      <c r="AJ153" s="232"/>
      <c r="AK153" s="233"/>
    </row>
    <row r="154" spans="1:37" ht="13.5" thickBot="1" x14ac:dyDescent="0.25">
      <c r="A154" s="236"/>
      <c r="B154" s="276"/>
      <c r="C154" s="1167" t="s">
        <v>624</v>
      </c>
      <c r="D154" s="1167"/>
      <c r="E154" s="1167"/>
      <c r="F154" s="1167"/>
      <c r="G154" s="1167"/>
      <c r="H154" s="1167"/>
      <c r="I154" s="1167"/>
      <c r="J154" s="263"/>
      <c r="K154" s="1183" t="str">
        <f>Importe!T3</f>
        <v>CERO CON 00/100</v>
      </c>
      <c r="L154" s="1184"/>
      <c r="M154" s="1184"/>
      <c r="N154" s="1184"/>
      <c r="O154" s="1184"/>
      <c r="P154" s="1184"/>
      <c r="Q154" s="1184"/>
      <c r="R154" s="1184"/>
      <c r="S154" s="1184"/>
      <c r="T154" s="1184"/>
      <c r="U154" s="1184"/>
      <c r="V154" s="1185"/>
      <c r="W154" s="238"/>
      <c r="X154" s="295"/>
      <c r="Y154" s="766"/>
      <c r="Z154" s="239"/>
      <c r="AA154" s="232"/>
      <c r="AB154" s="232"/>
      <c r="AC154" s="232"/>
      <c r="AD154" s="232"/>
      <c r="AE154" s="232"/>
      <c r="AF154" s="232"/>
      <c r="AG154" s="232"/>
      <c r="AH154" s="232"/>
      <c r="AI154" s="232"/>
      <c r="AJ154" s="232"/>
      <c r="AK154" s="233"/>
    </row>
    <row r="155" spans="1:37" x14ac:dyDescent="0.2">
      <c r="A155" s="234">
        <v>16</v>
      </c>
      <c r="B155" s="235" t="s">
        <v>139</v>
      </c>
      <c r="C155" s="236"/>
      <c r="D155" s="236"/>
      <c r="E155" s="236"/>
      <c r="F155" s="236"/>
      <c r="G155" s="236"/>
      <c r="H155" s="236"/>
      <c r="I155" s="236"/>
      <c r="J155" s="235"/>
      <c r="K155" s="770"/>
      <c r="L155" s="236" t="s">
        <v>22</v>
      </c>
      <c r="M155" s="236"/>
      <c r="N155" s="236"/>
      <c r="O155" s="236"/>
      <c r="P155" s="236"/>
      <c r="Q155" s="236"/>
      <c r="R155" s="236"/>
      <c r="S155" s="236"/>
      <c r="T155" s="236"/>
      <c r="U155" s="236"/>
      <c r="V155" s="236"/>
      <c r="W155" s="238"/>
      <c r="X155" s="295"/>
      <c r="Y155" s="766"/>
      <c r="Z155" s="239"/>
      <c r="AA155" s="232"/>
      <c r="AB155" s="232"/>
      <c r="AC155" s="232"/>
      <c r="AD155" s="232"/>
      <c r="AE155" s="232"/>
      <c r="AF155" s="232"/>
      <c r="AG155" s="232"/>
      <c r="AH155" s="232"/>
      <c r="AI155" s="232"/>
      <c r="AJ155" s="232"/>
      <c r="AK155" s="233"/>
    </row>
    <row r="156" spans="1:37" ht="13.5" thickBot="1" x14ac:dyDescent="0.25">
      <c r="A156" s="238"/>
      <c r="B156" s="483"/>
      <c r="C156" s="484" t="s">
        <v>136</v>
      </c>
      <c r="D156" s="485"/>
      <c r="E156" s="485"/>
      <c r="F156" s="485"/>
      <c r="G156" s="485" t="s">
        <v>614</v>
      </c>
      <c r="H156" s="485"/>
      <c r="I156" s="485"/>
      <c r="J156" s="486"/>
      <c r="K156" s="1104"/>
      <c r="L156" s="957"/>
      <c r="M156" s="957"/>
      <c r="N156" s="957"/>
      <c r="O156" s="957"/>
      <c r="P156" s="957"/>
      <c r="Q156" s="957"/>
      <c r="R156" s="957"/>
      <c r="S156" s="957"/>
      <c r="T156" s="957"/>
      <c r="U156" s="957"/>
      <c r="V156" s="958"/>
      <c r="W156" s="238"/>
      <c r="X156" s="232"/>
      <c r="Y156" s="232"/>
      <c r="Z156" s="239"/>
      <c r="AA156" s="232"/>
      <c r="AB156" s="232"/>
      <c r="AC156" s="232"/>
      <c r="AD156" s="232"/>
      <c r="AE156" s="232"/>
      <c r="AF156" s="232"/>
      <c r="AG156" s="232"/>
      <c r="AH156" s="232"/>
      <c r="AI156" s="232"/>
      <c r="AJ156" s="232"/>
      <c r="AK156" s="233"/>
    </row>
    <row r="157" spans="1:37" ht="13.5" thickBot="1" x14ac:dyDescent="0.25">
      <c r="A157" s="238"/>
      <c r="B157" s="487"/>
      <c r="C157" s="226"/>
      <c r="D157" s="226"/>
      <c r="E157" s="226"/>
      <c r="F157" s="226"/>
      <c r="G157" s="226"/>
      <c r="H157" s="226"/>
      <c r="I157" s="294" t="s">
        <v>137</v>
      </c>
      <c r="J157" s="295"/>
      <c r="K157" s="1130"/>
      <c r="L157" s="1131"/>
      <c r="M157" s="1131"/>
      <c r="N157" s="1131"/>
      <c r="O157" s="1131"/>
      <c r="P157" s="1131"/>
      <c r="Q157" s="1131"/>
      <c r="R157" s="1131"/>
      <c r="S157" s="1131"/>
      <c r="T157" s="1131"/>
      <c r="U157" s="1131"/>
      <c r="V157" s="1132"/>
      <c r="W157" s="238"/>
      <c r="X157" s="232"/>
      <c r="Y157" s="232"/>
      <c r="Z157" s="239"/>
      <c r="AA157" s="232"/>
      <c r="AB157" s="232"/>
      <c r="AC157" s="232"/>
      <c r="AD157" s="232"/>
      <c r="AE157" s="232"/>
      <c r="AF157" s="232"/>
      <c r="AG157" s="232"/>
      <c r="AH157" s="232"/>
      <c r="AI157" s="232"/>
      <c r="AJ157" s="232"/>
      <c r="AK157" s="233"/>
    </row>
    <row r="158" spans="1:37" ht="13.5" thickBot="1" x14ac:dyDescent="0.25">
      <c r="A158" s="238"/>
      <c r="B158" s="487"/>
      <c r="C158" s="226"/>
      <c r="D158" s="226"/>
      <c r="E158" s="226"/>
      <c r="F158" s="226"/>
      <c r="G158" s="226"/>
      <c r="H158" s="226"/>
      <c r="I158" s="294" t="s">
        <v>140</v>
      </c>
      <c r="J158" s="295"/>
      <c r="K158" s="1163" t="s">
        <v>768</v>
      </c>
      <c r="L158" s="1164"/>
      <c r="M158" s="1164"/>
      <c r="N158" s="1164"/>
      <c r="O158" s="1164"/>
      <c r="P158" s="1164"/>
      <c r="Q158" s="1164"/>
      <c r="R158" s="1164"/>
      <c r="S158" s="1164"/>
      <c r="T158" s="1164"/>
      <c r="U158" s="1164"/>
      <c r="V158" s="1165"/>
      <c r="W158" s="488"/>
      <c r="X158" s="232"/>
      <c r="Y158" s="232"/>
      <c r="Z158" s="239"/>
      <c r="AA158" s="232"/>
      <c r="AB158" s="232"/>
      <c r="AC158" s="232"/>
      <c r="AD158" s="232"/>
      <c r="AE158" s="232"/>
      <c r="AF158" s="232"/>
      <c r="AG158" s="232"/>
      <c r="AH158" s="232"/>
      <c r="AI158" s="232"/>
      <c r="AJ158" s="232"/>
      <c r="AK158" s="233"/>
    </row>
    <row r="159" spans="1:37" x14ac:dyDescent="0.2">
      <c r="A159" s="238"/>
      <c r="B159" s="489"/>
      <c r="C159" s="490"/>
      <c r="D159" s="490"/>
      <c r="E159" s="490"/>
      <c r="F159" s="490"/>
      <c r="G159" s="490"/>
      <c r="H159" s="490"/>
      <c r="I159" s="491" t="s">
        <v>138</v>
      </c>
      <c r="J159" s="481"/>
      <c r="K159" s="1127">
        <v>2750</v>
      </c>
      <c r="L159" s="1128"/>
      <c r="M159" s="1128"/>
      <c r="N159" s="1128"/>
      <c r="O159" s="1128"/>
      <c r="P159" s="1128"/>
      <c r="Q159" s="1128"/>
      <c r="R159" s="1128"/>
      <c r="S159" s="1128"/>
      <c r="T159" s="1128"/>
      <c r="U159" s="1128"/>
      <c r="V159" s="1129"/>
      <c r="W159" s="238"/>
      <c r="X159" s="492"/>
      <c r="Y159" s="232"/>
      <c r="Z159" s="239"/>
      <c r="AA159" s="232"/>
      <c r="AB159" s="232"/>
      <c r="AC159" s="232"/>
      <c r="AD159" s="232"/>
      <c r="AE159" s="232"/>
      <c r="AF159" s="232"/>
      <c r="AG159" s="232"/>
      <c r="AH159" s="232"/>
      <c r="AI159" s="232"/>
      <c r="AJ159" s="232"/>
      <c r="AK159" s="233"/>
    </row>
    <row r="160" spans="1:37" x14ac:dyDescent="0.2">
      <c r="A160" s="238"/>
      <c r="B160" s="489"/>
      <c r="C160" s="490"/>
      <c r="D160" s="490"/>
      <c r="E160" s="490"/>
      <c r="F160" s="490"/>
      <c r="G160" s="490"/>
      <c r="H160" s="490"/>
      <c r="I160" s="493"/>
      <c r="J160" s="481"/>
      <c r="K160" s="1125"/>
      <c r="L160" s="1125"/>
      <c r="M160" s="1125"/>
      <c r="N160" s="1125"/>
      <c r="O160" s="1125"/>
      <c r="P160" s="1125"/>
      <c r="Q160" s="1125"/>
      <c r="R160" s="1125"/>
      <c r="S160" s="1125"/>
      <c r="T160" s="1125"/>
      <c r="U160" s="1125"/>
      <c r="V160" s="1126"/>
      <c r="W160" s="238"/>
      <c r="X160" s="232"/>
      <c r="Y160" s="232"/>
      <c r="Z160" s="239"/>
      <c r="AA160" s="232"/>
      <c r="AB160" s="232"/>
      <c r="AC160" s="232"/>
      <c r="AD160" s="232"/>
      <c r="AE160" s="232"/>
      <c r="AF160" s="232"/>
      <c r="AG160" s="232"/>
      <c r="AH160" s="232"/>
      <c r="AI160" s="232"/>
      <c r="AJ160" s="232"/>
      <c r="AK160" s="233"/>
    </row>
    <row r="161" spans="1:37" x14ac:dyDescent="0.2">
      <c r="A161" s="494">
        <v>17</v>
      </c>
      <c r="B161" s="235" t="s">
        <v>481</v>
      </c>
      <c r="C161" s="236"/>
      <c r="D161" s="416"/>
      <c r="E161" s="236"/>
      <c r="F161" s="236"/>
      <c r="G161" s="236"/>
      <c r="H161" s="238"/>
      <c r="I161" s="238"/>
      <c r="J161" s="327"/>
      <c r="K161" s="1102" t="s">
        <v>623</v>
      </c>
      <c r="L161" s="1103"/>
      <c r="M161" s="1103"/>
      <c r="N161" s="1103"/>
      <c r="O161" s="1103"/>
      <c r="P161" s="1103"/>
      <c r="Q161" s="1103"/>
      <c r="R161" s="328"/>
      <c r="S161" s="328"/>
      <c r="T161" s="328"/>
      <c r="U161" s="328"/>
      <c r="V161" s="328"/>
      <c r="W161" s="238"/>
      <c r="X161" s="226"/>
      <c r="Y161" s="226"/>
      <c r="Z161" s="239"/>
      <c r="AA161" s="232"/>
      <c r="AB161" s="232"/>
      <c r="AC161" s="232"/>
      <c r="AD161" s="232"/>
      <c r="AE161" s="232"/>
      <c r="AF161" s="232"/>
      <c r="AG161" s="232"/>
      <c r="AH161" s="232"/>
      <c r="AI161" s="232"/>
      <c r="AJ161" s="232"/>
      <c r="AK161" s="233"/>
    </row>
    <row r="162" spans="1:37" x14ac:dyDescent="0.2">
      <c r="A162" s="236"/>
      <c r="B162" s="482" t="s">
        <v>479</v>
      </c>
      <c r="C162" s="495"/>
      <c r="D162" s="496"/>
      <c r="E162" s="495"/>
      <c r="F162" s="495"/>
      <c r="G162" s="495"/>
      <c r="H162" s="497"/>
      <c r="I162" s="497"/>
      <c r="J162" s="498"/>
      <c r="K162" s="313"/>
      <c r="L162" s="313"/>
      <c r="M162" s="495"/>
      <c r="N162" s="495"/>
      <c r="O162" s="313"/>
      <c r="P162" s="1097" t="e">
        <f>R162/R129</f>
        <v>#DIV/0!</v>
      </c>
      <c r="Q162" s="1098"/>
      <c r="R162" s="1160">
        <f>ROUNDUP(L90*0.1,0)</f>
        <v>0</v>
      </c>
      <c r="S162" s="1161"/>
      <c r="T162" s="1161"/>
      <c r="U162" s="1161"/>
      <c r="V162" s="1162"/>
      <c r="W162" s="238"/>
      <c r="X162" s="226"/>
      <c r="Y162" s="226"/>
      <c r="Z162" s="239"/>
      <c r="AA162" s="232"/>
      <c r="AB162" s="232"/>
      <c r="AC162" s="232"/>
      <c r="AD162" s="232"/>
      <c r="AE162" s="232"/>
      <c r="AF162" s="232"/>
      <c r="AG162" s="232"/>
      <c r="AH162" s="232"/>
      <c r="AI162" s="232"/>
      <c r="AJ162" s="232"/>
      <c r="AK162" s="233"/>
    </row>
    <row r="163" spans="1:37" x14ac:dyDescent="0.2">
      <c r="A163" s="236"/>
      <c r="B163" s="482" t="s">
        <v>700</v>
      </c>
      <c r="C163" s="495"/>
      <c r="D163" s="497"/>
      <c r="E163" s="495"/>
      <c r="F163" s="495"/>
      <c r="G163" s="495"/>
      <c r="H163" s="497"/>
      <c r="I163" s="496"/>
      <c r="J163" s="498"/>
      <c r="K163" s="313"/>
      <c r="L163" s="313" t="s">
        <v>22</v>
      </c>
      <c r="M163" s="495"/>
      <c r="N163" s="495"/>
      <c r="O163" s="313"/>
      <c r="P163" s="1097" t="e">
        <f>R163/R129</f>
        <v>#DIV/0!</v>
      </c>
      <c r="Q163" s="1098"/>
      <c r="R163" s="1157">
        <f>SUM(K145,K149)</f>
        <v>0</v>
      </c>
      <c r="S163" s="1158"/>
      <c r="T163" s="1158"/>
      <c r="U163" s="1158"/>
      <c r="V163" s="1159"/>
      <c r="W163" s="238"/>
      <c r="X163" s="226"/>
      <c r="Y163" s="226"/>
      <c r="Z163" s="239"/>
      <c r="AA163" s="232"/>
      <c r="AB163" s="232"/>
      <c r="AC163" s="232"/>
      <c r="AD163" s="232"/>
      <c r="AE163" s="232"/>
      <c r="AF163" s="232"/>
      <c r="AG163" s="232"/>
      <c r="AH163" s="232"/>
      <c r="AI163" s="232"/>
      <c r="AJ163" s="232"/>
      <c r="AK163" s="233"/>
    </row>
    <row r="164" spans="1:37" x14ac:dyDescent="0.2">
      <c r="A164" s="236"/>
      <c r="B164" s="1108" t="s">
        <v>476</v>
      </c>
      <c r="C164" s="1109"/>
      <c r="D164" s="1109"/>
      <c r="E164" s="1109"/>
      <c r="F164" s="1109"/>
      <c r="G164" s="1109"/>
      <c r="H164" s="1109"/>
      <c r="I164" s="1109"/>
      <c r="J164" s="1109"/>
      <c r="K164" s="1109"/>
      <c r="L164" s="1109"/>
      <c r="M164" s="495"/>
      <c r="N164" s="495"/>
      <c r="O164" s="313"/>
      <c r="P164" s="1097" t="e">
        <f>R164/R129</f>
        <v>#DIV/0!</v>
      </c>
      <c r="Q164" s="1098"/>
      <c r="R164" s="1105">
        <f>K159</f>
        <v>2750</v>
      </c>
      <c r="S164" s="1106"/>
      <c r="T164" s="1106"/>
      <c r="U164" s="1106"/>
      <c r="V164" s="1107"/>
      <c r="W164" s="238"/>
      <c r="X164" s="226"/>
      <c r="Y164" s="226"/>
      <c r="Z164" s="239"/>
      <c r="AA164" s="232"/>
      <c r="AB164" s="232"/>
      <c r="AC164" s="232"/>
      <c r="AD164" s="232"/>
      <c r="AE164" s="232"/>
      <c r="AF164" s="232"/>
      <c r="AG164" s="232"/>
      <c r="AH164" s="232"/>
      <c r="AI164" s="232"/>
      <c r="AJ164" s="232"/>
      <c r="AK164" s="233"/>
    </row>
    <row r="165" spans="1:37" x14ac:dyDescent="0.2">
      <c r="A165" s="236"/>
      <c r="B165" s="482" t="s">
        <v>439</v>
      </c>
      <c r="C165" s="495"/>
      <c r="D165" s="497"/>
      <c r="E165" s="495"/>
      <c r="F165" s="495"/>
      <c r="G165" s="495"/>
      <c r="H165" s="497"/>
      <c r="I165" s="496"/>
      <c r="J165" s="498"/>
      <c r="K165" s="313"/>
      <c r="L165" s="313"/>
      <c r="M165" s="495"/>
      <c r="N165" s="495"/>
      <c r="O165" s="313"/>
      <c r="P165" s="1097" t="e">
        <f>R165/R129</f>
        <v>#DIV/0!</v>
      </c>
      <c r="Q165" s="1098"/>
      <c r="R165" s="1105">
        <f>R129*1.35%</f>
        <v>0</v>
      </c>
      <c r="S165" s="1106"/>
      <c r="T165" s="1106"/>
      <c r="U165" s="1106"/>
      <c r="V165" s="1107"/>
      <c r="W165" s="238"/>
      <c r="X165" s="226"/>
      <c r="Y165" s="226"/>
      <c r="Z165" s="236"/>
      <c r="AA165" s="232"/>
      <c r="AB165" s="232"/>
      <c r="AC165" s="232"/>
      <c r="AD165" s="232"/>
      <c r="AE165" s="232"/>
      <c r="AF165" s="232"/>
      <c r="AG165" s="232"/>
      <c r="AH165" s="232"/>
      <c r="AI165" s="232"/>
      <c r="AJ165" s="232"/>
      <c r="AK165" s="233"/>
    </row>
    <row r="166" spans="1:37" x14ac:dyDescent="0.2">
      <c r="A166" s="236"/>
      <c r="B166" s="499"/>
      <c r="C166" s="490"/>
      <c r="D166" s="500"/>
      <c r="E166" s="490"/>
      <c r="F166" s="490"/>
      <c r="G166" s="490"/>
      <c r="H166" s="500"/>
      <c r="I166" s="501"/>
      <c r="J166" s="226"/>
      <c r="K166" s="490"/>
      <c r="L166" s="502"/>
      <c r="M166" s="226"/>
      <c r="N166" s="503" t="s">
        <v>71</v>
      </c>
      <c r="O166" s="502"/>
      <c r="P166" s="1101" t="e">
        <f>R166/R129</f>
        <v>#DIV/0!</v>
      </c>
      <c r="Q166" s="1101"/>
      <c r="R166" s="1094">
        <f>SUM(R162+R163+R164+R165)</f>
        <v>2750</v>
      </c>
      <c r="S166" s="1095"/>
      <c r="T166" s="1095"/>
      <c r="U166" s="1095"/>
      <c r="V166" s="1096"/>
      <c r="W166" s="238"/>
      <c r="X166" s="226"/>
      <c r="Y166" s="226"/>
      <c r="Z166" s="236"/>
      <c r="AA166" s="232"/>
      <c r="AB166" s="232"/>
      <c r="AC166" s="232"/>
      <c r="AD166" s="232"/>
      <c r="AE166" s="232"/>
      <c r="AF166" s="232"/>
      <c r="AG166" s="232"/>
      <c r="AH166" s="232"/>
      <c r="AI166" s="232"/>
      <c r="AJ166" s="232"/>
      <c r="AK166" s="233"/>
    </row>
    <row r="167" spans="1:37" x14ac:dyDescent="0.2">
      <c r="A167" s="236"/>
      <c r="B167" s="238"/>
      <c r="C167" s="236"/>
      <c r="D167" s="236"/>
      <c r="E167" s="236"/>
      <c r="F167" s="236"/>
      <c r="G167" s="236"/>
      <c r="H167" s="236"/>
      <c r="I167" s="236"/>
      <c r="J167" s="238"/>
      <c r="K167" s="238"/>
      <c r="L167" s="236"/>
      <c r="M167" s="236"/>
      <c r="N167" s="236"/>
      <c r="O167" s="236"/>
      <c r="P167" s="236"/>
      <c r="Q167" s="236"/>
      <c r="R167" s="236"/>
      <c r="S167" s="236"/>
      <c r="T167" s="236"/>
      <c r="U167" s="236"/>
      <c r="V167" s="236"/>
      <c r="W167" s="238"/>
      <c r="X167" s="236"/>
      <c r="Y167" s="236"/>
      <c r="Z167" s="236"/>
      <c r="AA167" s="232"/>
      <c r="AB167" s="232"/>
      <c r="AC167" s="232"/>
      <c r="AD167" s="232"/>
      <c r="AE167" s="232"/>
      <c r="AF167" s="232"/>
      <c r="AG167" s="232"/>
      <c r="AH167" s="232"/>
      <c r="AI167" s="232"/>
      <c r="AJ167" s="232"/>
      <c r="AK167" s="233"/>
    </row>
  </sheetData>
  <sheetProtection algorithmName="SHA-512" hashValue="AtUMd2KweNuc1frAvIfS7DoeKh3J4L+z1uQcxlxChJ9iAX4PV5yguwlF5KCgck/Bn7QBZT+A/9bY5ol5JrYPNw==" saltValue="Kg2GjpPLxwYMMAUnKxYuTA==" spinCount="100000" sheet="1" formatCells="0" formatColumns="0" formatRows="0" insertColumns="0" insertRows="0" insertHyperlinks="0" deleteColumns="0" deleteRows="0" sort="0" autoFilter="0" pivotTables="0"/>
  <customSheetViews>
    <customSheetView guid="{3DA56FC4-53DE-48E1-9C8B-99A7C6BEC59A}" hiddenColumns="1" showRuler="0" topLeftCell="B55">
      <selection activeCell="K56" sqref="K56:L56"/>
      <pageMargins left="0.75" right="0.75" top="1" bottom="1" header="0" footer="0"/>
      <pageSetup paperSize="9" orientation="portrait" horizontalDpi="300" verticalDpi="0" r:id="rId1"/>
      <headerFooter alignWithMargins="0"/>
    </customSheetView>
    <customSheetView guid="{3055A696-E36D-42C0-8DEA-BCF75BC71F7B}" hiddenColumns="1">
      <selection activeCell="AL4" sqref="AL4"/>
      <pageMargins left="0.75" right="0.75" top="1" bottom="1" header="0" footer="0"/>
      <pageSetup paperSize="9" orientation="portrait" horizontalDpi="300" verticalDpi="1200" r:id="rId2"/>
      <headerFooter alignWithMargins="0"/>
    </customSheetView>
  </customSheetViews>
  <mergeCells count="257">
    <mergeCell ref="L92:O92"/>
    <mergeCell ref="R101:V101"/>
    <mergeCell ref="R102:V102"/>
    <mergeCell ref="R107:V107"/>
    <mergeCell ref="O103:V103"/>
    <mergeCell ref="L110:O110"/>
    <mergeCell ref="R110:V110"/>
    <mergeCell ref="L107:O107"/>
    <mergeCell ref="K154:V154"/>
    <mergeCell ref="K146:V146"/>
    <mergeCell ref="H122:K122"/>
    <mergeCell ref="H121:K121"/>
    <mergeCell ref="T134:V134"/>
    <mergeCell ref="H129:J129"/>
    <mergeCell ref="M122:O122"/>
    <mergeCell ref="L125:O125"/>
    <mergeCell ref="B135:J135"/>
    <mergeCell ref="H134:N134"/>
    <mergeCell ref="O135:V135"/>
    <mergeCell ref="R129:V129"/>
    <mergeCell ref="P131:S131"/>
    <mergeCell ref="T131:V131"/>
    <mergeCell ref="F130:V130"/>
    <mergeCell ref="P122:S122"/>
    <mergeCell ref="L98:O98"/>
    <mergeCell ref="E103:F103"/>
    <mergeCell ref="R165:V165"/>
    <mergeCell ref="R163:V163"/>
    <mergeCell ref="R162:V162"/>
    <mergeCell ref="P162:Q162"/>
    <mergeCell ref="P163:Q163"/>
    <mergeCell ref="K158:V158"/>
    <mergeCell ref="B122:F122"/>
    <mergeCell ref="C154:I154"/>
    <mergeCell ref="G153:I153"/>
    <mergeCell ref="K153:V153"/>
    <mergeCell ref="T126:V126"/>
    <mergeCell ref="L123:O123"/>
    <mergeCell ref="K152:V152"/>
    <mergeCell ref="B153:F153"/>
    <mergeCell ref="K148:V148"/>
    <mergeCell ref="K147:V147"/>
    <mergeCell ref="G149:I149"/>
    <mergeCell ref="K151:V151"/>
    <mergeCell ref="K143:V143"/>
    <mergeCell ref="K144:V144"/>
    <mergeCell ref="B109:C109"/>
    <mergeCell ref="G145:I145"/>
    <mergeCell ref="AB109:AC109"/>
    <mergeCell ref="B149:F149"/>
    <mergeCell ref="E138:F138"/>
    <mergeCell ref="L135:N135"/>
    <mergeCell ref="K149:V149"/>
    <mergeCell ref="K160:V160"/>
    <mergeCell ref="K159:V159"/>
    <mergeCell ref="K157:V157"/>
    <mergeCell ref="D109:G109"/>
    <mergeCell ref="O134:S134"/>
    <mergeCell ref="S120:V120"/>
    <mergeCell ref="P125:Q125"/>
    <mergeCell ref="R115:V115"/>
    <mergeCell ref="K150:V150"/>
    <mergeCell ref="B145:F145"/>
    <mergeCell ref="H115:K115"/>
    <mergeCell ref="H123:K123"/>
    <mergeCell ref="H116:K116"/>
    <mergeCell ref="B139:G139"/>
    <mergeCell ref="K145:V145"/>
    <mergeCell ref="H137:V137"/>
    <mergeCell ref="H139:V139"/>
    <mergeCell ref="H138:J138"/>
    <mergeCell ref="B137:G137"/>
    <mergeCell ref="E99:G99"/>
    <mergeCell ref="H100:I100"/>
    <mergeCell ref="D107:G107"/>
    <mergeCell ref="I103:K103"/>
    <mergeCell ref="E102:G102"/>
    <mergeCell ref="H117:K117"/>
    <mergeCell ref="H119:K119"/>
    <mergeCell ref="R166:V166"/>
    <mergeCell ref="S121:V121"/>
    <mergeCell ref="P164:Q164"/>
    <mergeCell ref="F118:G118"/>
    <mergeCell ref="P166:Q166"/>
    <mergeCell ref="K161:Q161"/>
    <mergeCell ref="K156:V156"/>
    <mergeCell ref="R164:V164"/>
    <mergeCell ref="B164:L164"/>
    <mergeCell ref="P165:Q165"/>
    <mergeCell ref="F136:V136"/>
    <mergeCell ref="L117:O117"/>
    <mergeCell ref="K142:V142"/>
    <mergeCell ref="R108:V108"/>
    <mergeCell ref="E100:G100"/>
    <mergeCell ref="L109:O109"/>
    <mergeCell ref="H114:K114"/>
    <mergeCell ref="D115:E115"/>
    <mergeCell ref="F121:G121"/>
    <mergeCell ref="F116:G116"/>
    <mergeCell ref="F114:G114"/>
    <mergeCell ref="K129:Q129"/>
    <mergeCell ref="F120:G120"/>
    <mergeCell ref="F119:G119"/>
    <mergeCell ref="D110:G110"/>
    <mergeCell ref="H102:I102"/>
    <mergeCell ref="H120:K120"/>
    <mergeCell ref="H118:K118"/>
    <mergeCell ref="D82:G82"/>
    <mergeCell ref="D91:G91"/>
    <mergeCell ref="L91:O91"/>
    <mergeCell ref="D87:G87"/>
    <mergeCell ref="L87:O87"/>
    <mergeCell ref="R97:V97"/>
    <mergeCell ref="L84:O84"/>
    <mergeCell ref="E101:G101"/>
    <mergeCell ref="H101:K101"/>
    <mergeCell ref="D88:G88"/>
    <mergeCell ref="D84:G84"/>
    <mergeCell ref="D92:G92"/>
    <mergeCell ref="I86:K86"/>
    <mergeCell ref="D96:G96"/>
    <mergeCell ref="R100:V100"/>
    <mergeCell ref="L100:N100"/>
    <mergeCell ref="L96:O96"/>
    <mergeCell ref="D83:G83"/>
    <mergeCell ref="L83:O83"/>
    <mergeCell ref="G86:H86"/>
    <mergeCell ref="R82:V82"/>
    <mergeCell ref="R85:V85"/>
    <mergeCell ref="R83:V83"/>
    <mergeCell ref="L82:O82"/>
    <mergeCell ref="AB88:AC88"/>
    <mergeCell ref="K33:V33"/>
    <mergeCell ref="K45:V45"/>
    <mergeCell ref="K46:V46"/>
    <mergeCell ref="K47:V47"/>
    <mergeCell ref="K34:V34"/>
    <mergeCell ref="K35:V35"/>
    <mergeCell ref="K37:V37"/>
    <mergeCell ref="K57:V57"/>
    <mergeCell ref="X51:Y51"/>
    <mergeCell ref="X64:Y64"/>
    <mergeCell ref="R69:V69"/>
    <mergeCell ref="J71:L71"/>
    <mergeCell ref="O71:P71"/>
    <mergeCell ref="L75:O75"/>
    <mergeCell ref="L73:O73"/>
    <mergeCell ref="K55:V55"/>
    <mergeCell ref="N59:R59"/>
    <mergeCell ref="R71:V71"/>
    <mergeCell ref="K60:V60"/>
    <mergeCell ref="K59:M59"/>
    <mergeCell ref="K64:L64"/>
    <mergeCell ref="R80:V80"/>
    <mergeCell ref="L80:O80"/>
    <mergeCell ref="X46:Y46"/>
    <mergeCell ref="K41:V41"/>
    <mergeCell ref="K42:V42"/>
    <mergeCell ref="K44:V44"/>
    <mergeCell ref="K58:V58"/>
    <mergeCell ref="L79:O79"/>
    <mergeCell ref="X60:Y60"/>
    <mergeCell ref="X31:Y31"/>
    <mergeCell ref="X34:Y34"/>
    <mergeCell ref="D81:G81"/>
    <mergeCell ref="K63:L63"/>
    <mergeCell ref="R70:V70"/>
    <mergeCell ref="K48:V48"/>
    <mergeCell ref="K49:V49"/>
    <mergeCell ref="R73:V73"/>
    <mergeCell ref="F77:T77"/>
    <mergeCell ref="D78:G78"/>
    <mergeCell ref="B64:J64"/>
    <mergeCell ref="L74:O74"/>
    <mergeCell ref="L78:O78"/>
    <mergeCell ref="D75:G75"/>
    <mergeCell ref="E71:F71"/>
    <mergeCell ref="D69:G69"/>
    <mergeCell ref="D74:G74"/>
    <mergeCell ref="D67:G67"/>
    <mergeCell ref="D68:G68"/>
    <mergeCell ref="D79:G79"/>
    <mergeCell ref="L72:O72"/>
    <mergeCell ref="L68:O68"/>
    <mergeCell ref="S59:V59"/>
    <mergeCell ref="R66:V66"/>
    <mergeCell ref="B80:C80"/>
    <mergeCell ref="D80:G80"/>
    <mergeCell ref="K18:V18"/>
    <mergeCell ref="K20:V20"/>
    <mergeCell ref="K19:V19"/>
    <mergeCell ref="K21:V21"/>
    <mergeCell ref="K23:V23"/>
    <mergeCell ref="K24:V24"/>
    <mergeCell ref="K25:V25"/>
    <mergeCell ref="L90:O90"/>
    <mergeCell ref="L81:O81"/>
    <mergeCell ref="L85:O85"/>
    <mergeCell ref="L86:O86"/>
    <mergeCell ref="K26:V26"/>
    <mergeCell ref="R88:V88"/>
    <mergeCell ref="L88:O88"/>
    <mergeCell ref="K39:V39"/>
    <mergeCell ref="K30:V30"/>
    <mergeCell ref="K31:V31"/>
    <mergeCell ref="R36:W36"/>
    <mergeCell ref="K38:V38"/>
    <mergeCell ref="K50:V50"/>
    <mergeCell ref="K51:V51"/>
    <mergeCell ref="R96:V96"/>
    <mergeCell ref="R92:V92"/>
    <mergeCell ref="R86:V86"/>
    <mergeCell ref="R81:V81"/>
    <mergeCell ref="R79:V79"/>
    <mergeCell ref="R84:V84"/>
    <mergeCell ref="U77:V77"/>
    <mergeCell ref="L67:O67"/>
    <mergeCell ref="F12:U12"/>
    <mergeCell ref="B72:K72"/>
    <mergeCell ref="L69:O69"/>
    <mergeCell ref="D70:G70"/>
    <mergeCell ref="B12:E12"/>
    <mergeCell ref="B13:E13"/>
    <mergeCell ref="C14:E14"/>
    <mergeCell ref="C15:E15"/>
    <mergeCell ref="K62:L62"/>
    <mergeCell ref="L70:O70"/>
    <mergeCell ref="K52:V52"/>
    <mergeCell ref="R72:V72"/>
    <mergeCell ref="K53:V53"/>
    <mergeCell ref="K22:V22"/>
    <mergeCell ref="K27:V27"/>
    <mergeCell ref="K29:V29"/>
    <mergeCell ref="S13:U13"/>
    <mergeCell ref="S14:U14"/>
    <mergeCell ref="S15:U15"/>
    <mergeCell ref="K40:V40"/>
    <mergeCell ref="K32:V32"/>
    <mergeCell ref="F16:R16"/>
    <mergeCell ref="X138:Y138"/>
    <mergeCell ref="R67:V67"/>
    <mergeCell ref="R75:V75"/>
    <mergeCell ref="X69:Y69"/>
    <mergeCell ref="R68:V68"/>
    <mergeCell ref="X71:Y71"/>
    <mergeCell ref="X76:Y76"/>
    <mergeCell ref="X80:Y80"/>
    <mergeCell ref="X88:Y88"/>
    <mergeCell ref="R78:V78"/>
    <mergeCell ref="X134:Y134"/>
    <mergeCell ref="X120:Y120"/>
    <mergeCell ref="X125:Y125"/>
    <mergeCell ref="X131:Y131"/>
    <mergeCell ref="X101:Y101"/>
    <mergeCell ref="X105:Y105"/>
    <mergeCell ref="R111:V111"/>
    <mergeCell ref="S119:V119"/>
  </mergeCells>
  <phoneticPr fontId="20" type="noConversion"/>
  <dataValidations xWindow="103" yWindow="449" count="3">
    <dataValidation type="date" allowBlank="1" showInputMessage="1" showErrorMessage="1" errorTitle="    Atención" error="Verificar formato (dd/mm/aaaa)" prompt="Formato de fecha (dd/mm/aaaa)" sqref="B13:E13" xr:uid="{00000000-0002-0000-0100-000000000000}">
      <formula1>40544</formula1>
      <formula2>46022</formula2>
    </dataValidation>
    <dataValidation type="list" allowBlank="1" showInputMessage="1" showErrorMessage="1" sqref="D71" xr:uid="{00000000-0002-0000-0100-000001000000}">
      <formula1>$BB$71:$BC$71</formula1>
    </dataValidation>
    <dataValidation type="list" allowBlank="1" showInputMessage="1" showErrorMessage="1" sqref="E103:F104" xr:uid="{00000000-0002-0000-0100-000002000000}">
      <formula1>$BB$103:$BC$103</formula1>
    </dataValidation>
  </dataValidations>
  <pageMargins left="0.75" right="0.75" top="1" bottom="1" header="0" footer="0"/>
  <pageSetup paperSize="9" orientation="portrait" horizontalDpi="300" verticalDpi="12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indexed="43"/>
  </sheetPr>
  <dimension ref="A1:R119"/>
  <sheetViews>
    <sheetView topLeftCell="A7" workbookViewId="0">
      <selection activeCell="A73" sqref="A73"/>
    </sheetView>
  </sheetViews>
  <sheetFormatPr baseColWidth="10" defaultRowHeight="12.75" x14ac:dyDescent="0.2"/>
  <sheetData>
    <row r="1" spans="1:18" x14ac:dyDescent="0.2">
      <c r="A1" s="504"/>
      <c r="B1" s="505"/>
      <c r="C1" s="508"/>
      <c r="D1" s="1214"/>
      <c r="E1" s="1214"/>
      <c r="F1" s="508"/>
      <c r="G1" s="505"/>
      <c r="H1" s="505"/>
      <c r="I1" s="506"/>
    </row>
    <row r="2" spans="1:18" x14ac:dyDescent="0.2">
      <c r="A2" s="507"/>
      <c r="B2" s="508"/>
      <c r="C2" s="508"/>
      <c r="D2" s="508"/>
      <c r="E2" s="508"/>
      <c r="F2" s="508"/>
      <c r="G2" s="508"/>
      <c r="H2" s="508"/>
      <c r="I2" s="509"/>
    </row>
    <row r="3" spans="1:18" x14ac:dyDescent="0.2">
      <c r="A3" s="510"/>
      <c r="B3" s="374"/>
      <c r="C3" s="1218"/>
      <c r="D3" s="1219"/>
      <c r="E3" s="1219"/>
      <c r="F3" s="1219"/>
      <c r="G3" s="1219"/>
      <c r="H3" s="1219"/>
      <c r="I3" s="1220"/>
      <c r="J3" s="6"/>
      <c r="K3" s="6"/>
      <c r="L3" s="6"/>
      <c r="M3" s="6"/>
      <c r="N3" s="6"/>
      <c r="O3" s="6"/>
      <c r="P3" s="6"/>
      <c r="Q3" s="6"/>
      <c r="R3" s="6"/>
    </row>
    <row r="4" spans="1:18" x14ac:dyDescent="0.2">
      <c r="A4" s="510"/>
      <c r="B4" s="374"/>
      <c r="C4" s="374"/>
      <c r="D4" s="374"/>
      <c r="E4" s="511"/>
      <c r="F4" s="374"/>
      <c r="G4" s="374"/>
      <c r="H4" s="374"/>
      <c r="I4" s="512"/>
      <c r="J4" s="6"/>
      <c r="K4" s="6"/>
      <c r="L4" s="6"/>
      <c r="M4" s="6"/>
      <c r="N4" s="6"/>
      <c r="O4" s="6"/>
      <c r="P4" s="6"/>
      <c r="Q4" s="6"/>
      <c r="R4" s="6"/>
    </row>
    <row r="5" spans="1:18" x14ac:dyDescent="0.2">
      <c r="A5" s="510"/>
      <c r="B5" s="374"/>
      <c r="C5" s="374"/>
      <c r="D5" s="374"/>
      <c r="E5" s="511"/>
      <c r="F5" s="511"/>
      <c r="G5" s="508"/>
      <c r="H5" s="513" t="s">
        <v>211</v>
      </c>
      <c r="I5" s="514">
        <f>Datos!K26</f>
        <v>0</v>
      </c>
      <c r="J5" s="6"/>
      <c r="K5" s="6"/>
      <c r="L5" s="6"/>
      <c r="M5" s="6"/>
      <c r="N5" s="6"/>
      <c r="O5" s="6"/>
      <c r="P5" s="6"/>
      <c r="Q5" s="6"/>
      <c r="R5" s="6"/>
    </row>
    <row r="6" spans="1:18" x14ac:dyDescent="0.2">
      <c r="A6" s="510"/>
      <c r="B6" s="374"/>
      <c r="C6" s="374"/>
      <c r="D6" s="374"/>
      <c r="E6" s="511"/>
      <c r="F6" s="511"/>
      <c r="G6" s="513"/>
      <c r="H6" s="515"/>
      <c r="I6" s="509"/>
      <c r="J6" s="6"/>
      <c r="K6" s="6"/>
      <c r="L6" s="6"/>
      <c r="M6" s="6"/>
      <c r="N6" s="6"/>
      <c r="O6" s="6"/>
      <c r="P6" s="6"/>
      <c r="Q6" s="6"/>
      <c r="R6" s="6"/>
    </row>
    <row r="7" spans="1:18" x14ac:dyDescent="0.2">
      <c r="A7" s="516" t="s">
        <v>239</v>
      </c>
      <c r="B7" s="517"/>
      <c r="C7" s="517"/>
      <c r="D7" s="517"/>
      <c r="E7" s="517"/>
      <c r="F7" s="508"/>
      <c r="G7" s="518">
        <f>Datos!K38</f>
        <v>0</v>
      </c>
      <c r="H7" s="374" t="s">
        <v>212</v>
      </c>
      <c r="I7" s="509"/>
      <c r="J7" s="6"/>
      <c r="K7" s="6"/>
      <c r="L7" s="6"/>
      <c r="M7" s="6"/>
      <c r="N7" s="6"/>
      <c r="O7" s="6"/>
      <c r="P7" s="6"/>
      <c r="Q7" s="6"/>
      <c r="R7" s="6"/>
    </row>
    <row r="8" spans="1:18" x14ac:dyDescent="0.2">
      <c r="A8" s="519">
        <f>Datos!K40</f>
        <v>0</v>
      </c>
      <c r="B8" s="520" t="s">
        <v>213</v>
      </c>
      <c r="C8" s="518">
        <f>Datos!K41</f>
        <v>0</v>
      </c>
      <c r="D8" s="296"/>
      <c r="E8" s="374"/>
      <c r="F8" s="374"/>
      <c r="G8" s="374" t="s">
        <v>499</v>
      </c>
      <c r="H8" s="374"/>
      <c r="I8" s="509"/>
      <c r="J8" s="6"/>
      <c r="K8" s="6"/>
      <c r="L8" s="6"/>
      <c r="M8" s="6"/>
      <c r="N8" s="6"/>
      <c r="O8" s="6"/>
      <c r="P8" s="6"/>
      <c r="Q8" s="6"/>
      <c r="R8" s="6"/>
    </row>
    <row r="9" spans="1:18" x14ac:dyDescent="0.2">
      <c r="A9" s="1225">
        <f>Datos!K29</f>
        <v>0</v>
      </c>
      <c r="B9" s="1226"/>
      <c r="C9" s="521" t="s">
        <v>500</v>
      </c>
      <c r="D9" s="1227">
        <f>Datos!K18</f>
        <v>0</v>
      </c>
      <c r="E9" s="1227"/>
      <c r="F9" s="374" t="s">
        <v>222</v>
      </c>
      <c r="G9" s="521"/>
      <c r="H9" s="522">
        <f>Datos!K44</f>
        <v>0</v>
      </c>
      <c r="I9" s="509"/>
      <c r="J9" s="6"/>
      <c r="K9" s="6"/>
      <c r="L9" s="6"/>
      <c r="M9" s="6"/>
      <c r="N9" s="6"/>
      <c r="O9" s="6"/>
      <c r="P9" s="6"/>
      <c r="Q9" s="6"/>
      <c r="R9" s="6"/>
    </row>
    <row r="10" spans="1:18" x14ac:dyDescent="0.2">
      <c r="A10" s="1223">
        <f>Datos!K45</f>
        <v>0</v>
      </c>
      <c r="B10" s="1224"/>
      <c r="C10" s="523">
        <f>Datos!K46</f>
        <v>0</v>
      </c>
      <c r="D10" s="374" t="s">
        <v>490</v>
      </c>
      <c r="E10" s="518">
        <f>Datos!K48</f>
        <v>0</v>
      </c>
      <c r="F10" s="374"/>
      <c r="G10" s="374" t="s">
        <v>223</v>
      </c>
      <c r="H10" s="524">
        <f>Datos!K49</f>
        <v>0</v>
      </c>
      <c r="I10" s="509"/>
      <c r="J10" s="6"/>
      <c r="K10" s="6"/>
      <c r="L10" s="6"/>
      <c r="M10" s="6"/>
      <c r="N10" s="6"/>
      <c r="O10" s="6"/>
      <c r="P10" s="6"/>
      <c r="Q10" s="6"/>
      <c r="R10" s="6"/>
    </row>
    <row r="11" spans="1:18" x14ac:dyDescent="0.2">
      <c r="A11" s="510" t="s">
        <v>224</v>
      </c>
      <c r="B11" s="524">
        <f>Datos!K50</f>
        <v>0</v>
      </c>
      <c r="C11" s="374" t="s">
        <v>225</v>
      </c>
      <c r="D11" s="524">
        <f>Datos!K51</f>
        <v>0</v>
      </c>
      <c r="E11" s="374" t="s">
        <v>226</v>
      </c>
      <c r="F11" s="525">
        <f>Datos!K52</f>
        <v>0</v>
      </c>
      <c r="G11" s="526" t="s">
        <v>429</v>
      </c>
      <c r="H11" s="525">
        <f>Datos!K53</f>
        <v>0</v>
      </c>
      <c r="I11" s="527"/>
      <c r="J11" s="6"/>
      <c r="K11" s="6"/>
      <c r="L11" s="6"/>
      <c r="M11" s="6"/>
      <c r="N11" s="6"/>
      <c r="O11" s="6"/>
      <c r="P11" s="6"/>
      <c r="Q11" s="6"/>
      <c r="R11" s="6"/>
    </row>
    <row r="12" spans="1:18" x14ac:dyDescent="0.2">
      <c r="A12" s="510" t="s">
        <v>503</v>
      </c>
      <c r="B12" s="528"/>
      <c r="C12" s="528"/>
      <c r="D12" s="528" t="str">
        <f>IF( Datos!K64=0%,"OTRO PROFESIONAL ASUME LA CONSTRUCCION",IF(Datos!K64&lt;=20%,"ESTUDIO DE PROYECTO",IF(Datos!K64&lt;=45%,"CONTRATOS SEPARADOS",IF(Datos!K64&gt;=75%,"ADMINISTRACION",IF(Datos!K64=60%,IF(Datos!K63=40%,"CONTRATOS SEPARADOS","ADMINISTRACION"))))))</f>
        <v>OTRO PROFESIONAL ASUME LA CONSTRUCCION</v>
      </c>
      <c r="E12" s="528"/>
      <c r="F12" s="374"/>
      <c r="G12" s="528" t="str">
        <f>IF(Datos!K64=45%,"y ESTUDIO DE PROYECTO",IF(Datos!K64=75%,"y ESTUDIO DE PROYECTO",IF(Datos!K64=100%,"y ESTUDIO DE PROYECTO",IF(Datos!K64=60%,IF(Datos!K63=40%,"y ESTUDIO DE PROYECTO","."),"."))))</f>
        <v>.</v>
      </c>
      <c r="H12" s="374"/>
      <c r="I12" s="509"/>
      <c r="J12" s="6"/>
      <c r="L12" s="6"/>
      <c r="M12" s="6"/>
      <c r="N12" s="6"/>
      <c r="O12" s="6"/>
      <c r="P12" s="6"/>
      <c r="Q12" s="6"/>
      <c r="R12" s="6"/>
    </row>
    <row r="13" spans="1:18" x14ac:dyDescent="0.2">
      <c r="A13" s="345" t="s">
        <v>469</v>
      </c>
      <c r="B13" s="374"/>
      <c r="C13" s="374"/>
      <c r="D13" s="374"/>
      <c r="E13" s="374"/>
      <c r="F13" s="521" t="s">
        <v>209</v>
      </c>
      <c r="G13" s="529">
        <f>Datos!C14</f>
        <v>25</v>
      </c>
      <c r="H13" s="1221" t="s">
        <v>568</v>
      </c>
      <c r="I13" s="1222"/>
      <c r="J13" s="6"/>
      <c r="K13" s="6"/>
      <c r="L13" s="6"/>
      <c r="M13" s="6"/>
      <c r="N13" s="6"/>
      <c r="O13" s="6"/>
      <c r="P13" s="6"/>
      <c r="Q13" s="6"/>
      <c r="R13" s="6"/>
    </row>
    <row r="14" spans="1:18" x14ac:dyDescent="0.2">
      <c r="A14" s="530" t="s">
        <v>654</v>
      </c>
      <c r="B14" s="374" t="s">
        <v>214</v>
      </c>
      <c r="C14" s="531">
        <f>Datos!D67</f>
        <v>0</v>
      </c>
      <c r="D14" s="521" t="s">
        <v>706</v>
      </c>
      <c r="E14" s="532">
        <f>Datos!L67</f>
        <v>0</v>
      </c>
      <c r="F14" s="521" t="s">
        <v>433</v>
      </c>
      <c r="G14" s="533">
        <f>Datos!R67</f>
        <v>0</v>
      </c>
      <c r="H14" s="687"/>
      <c r="I14" s="534"/>
      <c r="J14" s="6"/>
      <c r="K14" s="6"/>
      <c r="L14" s="6"/>
      <c r="M14" s="6"/>
      <c r="N14" s="6"/>
      <c r="O14" s="6"/>
      <c r="P14" s="6"/>
      <c r="Q14" s="6"/>
      <c r="R14" s="6"/>
    </row>
    <row r="15" spans="1:18" x14ac:dyDescent="0.2">
      <c r="A15" s="530" t="s">
        <v>654</v>
      </c>
      <c r="B15" s="374" t="s">
        <v>214</v>
      </c>
      <c r="C15" s="531">
        <f>Datos!D68</f>
        <v>0</v>
      </c>
      <c r="D15" s="521" t="s">
        <v>706</v>
      </c>
      <c r="E15" s="532">
        <f>Datos!L68</f>
        <v>0</v>
      </c>
      <c r="F15" s="521" t="s">
        <v>433</v>
      </c>
      <c r="G15" s="533">
        <f>Datos!R68</f>
        <v>0</v>
      </c>
      <c r="H15" s="688"/>
      <c r="I15" s="534"/>
      <c r="J15" s="6"/>
      <c r="K15" s="6"/>
      <c r="L15" s="6"/>
      <c r="M15" s="6"/>
      <c r="N15" s="6"/>
      <c r="O15" s="6"/>
      <c r="P15" s="6"/>
      <c r="Q15" s="6"/>
      <c r="R15" s="6"/>
    </row>
    <row r="16" spans="1:18" x14ac:dyDescent="0.2">
      <c r="A16" s="530" t="s">
        <v>654</v>
      </c>
      <c r="B16" s="374" t="s">
        <v>214</v>
      </c>
      <c r="C16" s="531">
        <f>Datos!D69</f>
        <v>0</v>
      </c>
      <c r="D16" s="521" t="s">
        <v>706</v>
      </c>
      <c r="E16" s="532">
        <f>Datos!L69</f>
        <v>0</v>
      </c>
      <c r="F16" s="521" t="s">
        <v>433</v>
      </c>
      <c r="G16" s="533">
        <f>Datos!R69</f>
        <v>0</v>
      </c>
      <c r="H16" s="508"/>
      <c r="I16" s="534"/>
      <c r="J16" s="6"/>
      <c r="K16" s="6"/>
      <c r="L16" s="6"/>
      <c r="M16" s="6"/>
      <c r="N16" s="6"/>
      <c r="O16" s="6"/>
      <c r="P16" s="6"/>
      <c r="Q16" s="6"/>
      <c r="R16" s="6"/>
    </row>
    <row r="17" spans="1:18" x14ac:dyDescent="0.2">
      <c r="A17" s="530" t="s">
        <v>654</v>
      </c>
      <c r="B17" s="374" t="s">
        <v>214</v>
      </c>
      <c r="C17" s="531">
        <f>Datos!D70</f>
        <v>0</v>
      </c>
      <c r="D17" s="521" t="s">
        <v>706</v>
      </c>
      <c r="E17" s="532">
        <f>Datos!L70</f>
        <v>0</v>
      </c>
      <c r="F17" s="521" t="s">
        <v>433</v>
      </c>
      <c r="G17" s="533">
        <f>Datos!R70</f>
        <v>0</v>
      </c>
      <c r="H17" s="508"/>
      <c r="I17" s="534"/>
      <c r="J17" s="6"/>
      <c r="K17" s="6"/>
      <c r="L17" s="6"/>
      <c r="M17" s="6"/>
      <c r="N17" s="6"/>
      <c r="O17" s="6"/>
      <c r="P17" s="6"/>
      <c r="Q17" s="6"/>
      <c r="R17" s="6"/>
    </row>
    <row r="18" spans="1:18" x14ac:dyDescent="0.2">
      <c r="A18" s="535" t="s">
        <v>501</v>
      </c>
      <c r="B18" s="536" t="str">
        <f>IF(Datos!D71="no","NO",100%-'Acta Est. Obra'!F48)</f>
        <v>NO</v>
      </c>
      <c r="C18" s="531">
        <f>Datos!E71</f>
        <v>0</v>
      </c>
      <c r="D18" s="521" t="str">
        <f>Datos!G71</f>
        <v xml:space="preserve"> m² a razón calc.</v>
      </c>
      <c r="E18" s="532">
        <f>Datos!J71</f>
        <v>0</v>
      </c>
      <c r="F18" s="521" t="s">
        <v>433</v>
      </c>
      <c r="G18" s="537">
        <f>Datos!R71</f>
        <v>0</v>
      </c>
      <c r="H18" s="508"/>
      <c r="I18" s="534"/>
      <c r="J18" s="6"/>
      <c r="K18" s="6"/>
      <c r="L18" s="6"/>
      <c r="M18" s="6"/>
      <c r="N18" s="6"/>
      <c r="O18" s="6"/>
      <c r="P18" s="6"/>
      <c r="Q18" s="6"/>
      <c r="R18" s="6"/>
    </row>
    <row r="19" spans="1:18" x14ac:dyDescent="0.2">
      <c r="A19" s="530" t="s">
        <v>654</v>
      </c>
      <c r="B19" s="374"/>
      <c r="C19" s="1221" t="s">
        <v>208</v>
      </c>
      <c r="D19" s="1221"/>
      <c r="E19" s="822">
        <f>Datos!L72</f>
        <v>0</v>
      </c>
      <c r="F19" s="521"/>
      <c r="G19" s="538">
        <f>E19</f>
        <v>0</v>
      </c>
      <c r="H19" s="508"/>
      <c r="I19" s="534"/>
      <c r="J19" s="6"/>
      <c r="K19" s="6"/>
      <c r="L19" s="6"/>
      <c r="M19" s="6"/>
      <c r="N19" s="6"/>
      <c r="O19" s="6"/>
      <c r="P19" s="6"/>
      <c r="Q19" s="6"/>
      <c r="R19" s="6"/>
    </row>
    <row r="20" spans="1:18" x14ac:dyDescent="0.2">
      <c r="A20" s="539"/>
      <c r="B20" s="374"/>
      <c r="C20" s="374"/>
      <c r="D20" s="374"/>
      <c r="E20" s="540"/>
      <c r="F20" s="528" t="s">
        <v>71</v>
      </c>
      <c r="G20" s="533">
        <f>SUM(G14:G19)</f>
        <v>0</v>
      </c>
      <c r="H20" s="508"/>
      <c r="I20" s="534"/>
      <c r="J20" s="6"/>
      <c r="K20" s="6"/>
      <c r="L20" s="6"/>
      <c r="M20" s="6"/>
      <c r="N20" s="6"/>
      <c r="O20" s="6"/>
      <c r="P20" s="6"/>
      <c r="Q20" s="6"/>
      <c r="R20" s="6"/>
    </row>
    <row r="21" spans="1:18" x14ac:dyDescent="0.2">
      <c r="A21" s="345" t="s">
        <v>468</v>
      </c>
      <c r="B21" s="508"/>
      <c r="C21" s="508"/>
      <c r="D21" s="508"/>
      <c r="E21" s="824" t="str">
        <f>IF(Datos!D71="SI","HONORARIO CALCULADO DE ACUERDO AL % DE OBRA EJECUTADA","")</f>
        <v/>
      </c>
      <c r="F21" s="6"/>
      <c r="G21" s="541"/>
      <c r="H21" s="508"/>
      <c r="I21" s="542"/>
      <c r="J21" s="6"/>
      <c r="K21" s="6"/>
      <c r="L21" s="6"/>
      <c r="M21" s="6"/>
      <c r="N21" s="6"/>
      <c r="O21" s="6"/>
      <c r="P21" s="6"/>
      <c r="Q21" s="6"/>
      <c r="R21" s="6"/>
    </row>
    <row r="22" spans="1:18" x14ac:dyDescent="0.2">
      <c r="A22" s="819" t="s">
        <v>497</v>
      </c>
      <c r="B22" s="531">
        <f>Datos!D78</f>
        <v>0</v>
      </c>
      <c r="C22" s="521" t="s">
        <v>706</v>
      </c>
      <c r="D22" s="532">
        <f>Datos!L78</f>
        <v>0</v>
      </c>
      <c r="E22" s="521" t="s">
        <v>433</v>
      </c>
      <c r="G22" s="533">
        <f>Datos!R78</f>
        <v>0</v>
      </c>
      <c r="H22" s="526" t="s">
        <v>240</v>
      </c>
      <c r="I22" s="542"/>
      <c r="J22" s="6"/>
      <c r="K22" s="6"/>
      <c r="L22" s="6"/>
      <c r="M22" s="6"/>
      <c r="N22" s="6"/>
      <c r="O22" s="6"/>
      <c r="P22" s="6"/>
      <c r="Q22" s="6"/>
      <c r="R22" s="6"/>
    </row>
    <row r="23" spans="1:18" x14ac:dyDescent="0.2">
      <c r="A23" s="819" t="s">
        <v>497</v>
      </c>
      <c r="B23" s="531">
        <f>Datos!D79</f>
        <v>0</v>
      </c>
      <c r="C23" s="521" t="s">
        <v>706</v>
      </c>
      <c r="D23" s="532">
        <f>Datos!L79</f>
        <v>0</v>
      </c>
      <c r="E23" s="521" t="s">
        <v>433</v>
      </c>
      <c r="F23" s="6"/>
      <c r="G23" s="533">
        <f>Datos!R79</f>
        <v>0</v>
      </c>
      <c r="H23" s="526" t="s">
        <v>240</v>
      </c>
      <c r="I23" s="543"/>
      <c r="J23" s="6"/>
      <c r="K23" s="6"/>
      <c r="L23" s="6"/>
      <c r="M23" s="6"/>
      <c r="N23" s="6"/>
      <c r="O23" s="6"/>
      <c r="P23" s="6"/>
      <c r="Q23" s="6"/>
      <c r="R23" s="6"/>
    </row>
    <row r="24" spans="1:18" x14ac:dyDescent="0.2">
      <c r="A24" s="819" t="s">
        <v>497</v>
      </c>
      <c r="B24" s="531">
        <f>Datos!D80</f>
        <v>0</v>
      </c>
      <c r="C24" s="521" t="s">
        <v>706</v>
      </c>
      <c r="D24" s="532">
        <f>Datos!L80</f>
        <v>0</v>
      </c>
      <c r="E24" s="521" t="s">
        <v>433</v>
      </c>
      <c r="F24" s="508"/>
      <c r="G24" s="533">
        <f>Datos!R80</f>
        <v>0</v>
      </c>
      <c r="H24" s="526" t="s">
        <v>240</v>
      </c>
      <c r="I24" s="825"/>
      <c r="J24" s="43"/>
      <c r="K24" s="6"/>
      <c r="L24" s="6"/>
      <c r="M24" s="6"/>
      <c r="N24" s="6"/>
      <c r="O24" s="6"/>
      <c r="P24" s="6"/>
      <c r="Q24" s="6"/>
      <c r="R24" s="6"/>
    </row>
    <row r="25" spans="1:18" x14ac:dyDescent="0.2">
      <c r="A25" s="819" t="s">
        <v>497</v>
      </c>
      <c r="B25" s="531">
        <f>Datos!D81</f>
        <v>0</v>
      </c>
      <c r="C25" s="521" t="s">
        <v>706</v>
      </c>
      <c r="D25" s="532">
        <f>Datos!L81</f>
        <v>0</v>
      </c>
      <c r="E25" s="521" t="str">
        <f>IF(Datos!D71="SI","$ / m²  x","$ / m²   =")</f>
        <v>$ / m²   =</v>
      </c>
      <c r="F25" s="826" t="str">
        <f>IF(Datos!D71="SI",'Acta Est. Obra'!F48,"")</f>
        <v/>
      </c>
      <c r="G25" s="533">
        <f>IF(Datos!D71="SI",'Acta Est. Obra'!F48*Anexa!B25*Anexa!D25,B25*D25)</f>
        <v>0</v>
      </c>
      <c r="H25" s="526" t="s">
        <v>241</v>
      </c>
      <c r="I25" s="825"/>
      <c r="J25" s="43"/>
      <c r="K25" s="6"/>
      <c r="L25" s="6"/>
      <c r="M25" s="6"/>
      <c r="N25" s="6"/>
      <c r="O25" s="6"/>
      <c r="P25" s="6"/>
      <c r="Q25" s="6"/>
      <c r="R25" s="6"/>
    </row>
    <row r="26" spans="1:18" x14ac:dyDescent="0.2">
      <c r="A26" s="819" t="s">
        <v>497</v>
      </c>
      <c r="B26" s="531">
        <f>Datos!D82</f>
        <v>0</v>
      </c>
      <c r="C26" s="521" t="s">
        <v>706</v>
      </c>
      <c r="D26" s="532">
        <f>Datos!L82</f>
        <v>0</v>
      </c>
      <c r="E26" s="521" t="str">
        <f>IF(Datos!D71="SI","$ / m²  x","$ / m²   =")</f>
        <v>$ / m²   =</v>
      </c>
      <c r="F26" s="826" t="str">
        <f>IF(Datos!D71="SI",'Acta Est. Obra'!F48,"")</f>
        <v/>
      </c>
      <c r="G26" s="533">
        <f>IF(Datos!D71="SI",'Acta Est. Obra'!F48*Anexa!B26*Anexa!D26,B26*D26)</f>
        <v>0</v>
      </c>
      <c r="H26" s="526" t="s">
        <v>241</v>
      </c>
      <c r="I26" s="825"/>
      <c r="J26" s="43"/>
      <c r="K26" s="6"/>
      <c r="L26" s="6"/>
      <c r="M26" s="6"/>
      <c r="N26" s="6"/>
      <c r="O26" s="6"/>
      <c r="P26" s="6"/>
      <c r="Q26" s="6"/>
      <c r="R26" s="6"/>
    </row>
    <row r="27" spans="1:18" x14ac:dyDescent="0.2">
      <c r="A27" s="819" t="s">
        <v>497</v>
      </c>
      <c r="B27" s="531">
        <f>Datos!D83</f>
        <v>0</v>
      </c>
      <c r="C27" s="521" t="s">
        <v>706</v>
      </c>
      <c r="D27" s="532">
        <f>Datos!L83</f>
        <v>0</v>
      </c>
      <c r="E27" s="521" t="str">
        <f>IF(Datos!D71="SI","$ / m²  x","$ / m²   =")</f>
        <v>$ / m²   =</v>
      </c>
      <c r="F27" s="826" t="str">
        <f>IF(Datos!D71="SI",'Acta Est. Obra'!F48,"")</f>
        <v/>
      </c>
      <c r="G27" s="533">
        <f>IF(Datos!D71="SI",F27*B27*D27,B27*D27)</f>
        <v>0</v>
      </c>
      <c r="H27" s="526" t="s">
        <v>241</v>
      </c>
      <c r="I27" s="825"/>
      <c r="J27" s="43"/>
      <c r="K27" s="6"/>
      <c r="L27" s="6"/>
      <c r="M27" s="6"/>
      <c r="N27" s="6"/>
      <c r="O27" s="6"/>
      <c r="P27" s="6"/>
      <c r="Q27" s="6"/>
      <c r="R27" s="6"/>
    </row>
    <row r="28" spans="1:18" x14ac:dyDescent="0.2">
      <c r="A28" s="819" t="s">
        <v>497</v>
      </c>
      <c r="B28" s="531">
        <f>Datos!D84</f>
        <v>0</v>
      </c>
      <c r="C28" s="521" t="s">
        <v>706</v>
      </c>
      <c r="D28" s="532">
        <f>Datos!L84</f>
        <v>0</v>
      </c>
      <c r="E28" s="521" t="str">
        <f>IF(Datos!D71="SI","$ / m²  x","$ / m²   =")</f>
        <v>$ / m²   =</v>
      </c>
      <c r="F28" s="826" t="str">
        <f>IF(Datos!D71="SI",'Acta Est. Obra'!F48,"")</f>
        <v/>
      </c>
      <c r="G28" s="533">
        <f>IF(Datos!D71="SI",F28*B28*D28,B28*D28)</f>
        <v>0</v>
      </c>
      <c r="H28" s="46" t="s">
        <v>241</v>
      </c>
      <c r="I28" s="825"/>
      <c r="J28" s="43"/>
      <c r="K28" s="6"/>
      <c r="L28" s="6"/>
      <c r="M28" s="6"/>
      <c r="N28" s="6"/>
      <c r="O28" s="6"/>
      <c r="P28" s="6"/>
      <c r="Q28" s="6"/>
      <c r="R28" s="6"/>
    </row>
    <row r="29" spans="1:18" x14ac:dyDescent="0.2">
      <c r="A29" s="530" t="s">
        <v>467</v>
      </c>
      <c r="B29" s="374"/>
      <c r="C29" s="1221" t="s">
        <v>208</v>
      </c>
      <c r="D29" s="1221"/>
      <c r="E29" s="532">
        <f>Datos!L85</f>
        <v>0</v>
      </c>
      <c r="F29" s="521"/>
      <c r="G29" s="538">
        <f>Datos!R85</f>
        <v>0</v>
      </c>
      <c r="H29" s="526" t="s">
        <v>241</v>
      </c>
      <c r="I29" s="543"/>
      <c r="J29" s="6"/>
      <c r="K29" s="6"/>
      <c r="L29" s="6"/>
      <c r="M29" s="6"/>
      <c r="N29" s="6"/>
      <c r="O29" s="6"/>
      <c r="P29" s="6"/>
      <c r="Q29" s="6"/>
      <c r="R29" s="6"/>
    </row>
    <row r="30" spans="1:18" x14ac:dyDescent="0.2">
      <c r="A30" s="507"/>
      <c r="B30" s="508"/>
      <c r="C30" s="508"/>
      <c r="D30" s="508"/>
      <c r="E30" s="508"/>
      <c r="F30" s="528" t="s">
        <v>210</v>
      </c>
      <c r="G30" s="533">
        <f>SUM(G22:G29)</f>
        <v>0</v>
      </c>
      <c r="H30" s="508"/>
      <c r="I30" s="534"/>
      <c r="J30" s="6"/>
      <c r="K30" s="6"/>
      <c r="L30" s="6"/>
      <c r="M30" s="6"/>
      <c r="N30" s="6"/>
      <c r="O30" s="6"/>
      <c r="P30" s="6"/>
      <c r="Q30" s="6"/>
      <c r="R30" s="6"/>
    </row>
    <row r="31" spans="1:18" x14ac:dyDescent="0.2">
      <c r="A31" s="544" t="s">
        <v>228</v>
      </c>
      <c r="B31" s="545"/>
      <c r="C31" s="545"/>
      <c r="D31" s="545"/>
      <c r="E31" s="546"/>
      <c r="F31" s="374"/>
      <c r="G31" s="374"/>
      <c r="H31" s="374"/>
      <c r="I31" s="509"/>
      <c r="J31" s="6"/>
      <c r="K31" s="6"/>
      <c r="L31" s="6"/>
      <c r="M31" s="6"/>
      <c r="N31" s="6"/>
      <c r="O31" s="6"/>
      <c r="P31" s="6"/>
      <c r="Q31" s="6"/>
      <c r="R31" s="6"/>
    </row>
    <row r="32" spans="1:18" x14ac:dyDescent="0.2">
      <c r="A32" s="510" t="s">
        <v>229</v>
      </c>
      <c r="B32" s="374"/>
      <c r="C32" s="374"/>
      <c r="D32" s="374"/>
      <c r="E32" s="534"/>
      <c r="F32" s="374"/>
      <c r="G32" s="374"/>
      <c r="H32" s="374"/>
      <c r="I32" s="509"/>
      <c r="J32" s="6"/>
      <c r="K32" s="6"/>
      <c r="L32" s="6"/>
      <c r="M32" s="6"/>
      <c r="N32" s="6"/>
      <c r="O32" s="6"/>
      <c r="P32" s="6"/>
      <c r="Q32" s="6"/>
      <c r="R32" s="6"/>
    </row>
    <row r="33" spans="1:18" x14ac:dyDescent="0.2">
      <c r="A33" s="510" t="s">
        <v>230</v>
      </c>
      <c r="B33" s="1228">
        <f>Datos!R73</f>
        <v>0</v>
      </c>
      <c r="C33" s="1228"/>
      <c r="D33" s="374"/>
      <c r="E33" s="527"/>
      <c r="F33" s="374"/>
      <c r="G33" s="374"/>
      <c r="H33" s="374"/>
      <c r="I33" s="509"/>
      <c r="J33" s="6"/>
      <c r="K33" s="6"/>
      <c r="L33" s="6"/>
      <c r="M33" s="6"/>
      <c r="N33" s="6"/>
      <c r="O33" s="6"/>
      <c r="P33" s="6"/>
      <c r="Q33" s="6"/>
      <c r="R33" s="6"/>
    </row>
    <row r="34" spans="1:18" x14ac:dyDescent="0.2">
      <c r="A34" s="510" t="s">
        <v>231</v>
      </c>
      <c r="B34" s="374"/>
      <c r="C34" s="374"/>
      <c r="D34" s="547">
        <f>Datos!D74</f>
        <v>0</v>
      </c>
      <c r="E34" s="548">
        <f>Datos!L74</f>
        <v>0</v>
      </c>
      <c r="F34" s="374"/>
      <c r="G34" s="374"/>
      <c r="H34" s="374"/>
      <c r="I34" s="509"/>
      <c r="J34" s="6"/>
      <c r="K34" s="6"/>
      <c r="L34" s="6"/>
      <c r="M34" s="6"/>
      <c r="N34" s="6"/>
      <c r="O34" s="6"/>
      <c r="P34" s="6"/>
      <c r="Q34" s="6"/>
      <c r="R34" s="6"/>
    </row>
    <row r="35" spans="1:18" x14ac:dyDescent="0.2">
      <c r="A35" s="510" t="s">
        <v>216</v>
      </c>
      <c r="B35" s="549">
        <f>Datos!D75</f>
        <v>8.5000000000000006E-2</v>
      </c>
      <c r="C35" s="521" t="s">
        <v>682</v>
      </c>
      <c r="D35" s="547">
        <f>Datos!L75</f>
        <v>0</v>
      </c>
      <c r="E35" s="550">
        <f>Datos!R75</f>
        <v>0</v>
      </c>
      <c r="F35" s="374"/>
      <c r="G35" s="374"/>
      <c r="H35" s="374"/>
      <c r="I35" s="509"/>
      <c r="J35" s="6"/>
      <c r="K35" s="6"/>
      <c r="L35" s="6"/>
      <c r="M35" s="6"/>
      <c r="N35" s="6"/>
      <c r="O35" s="6"/>
      <c r="P35" s="6"/>
      <c r="Q35" s="6"/>
      <c r="R35" s="6"/>
    </row>
    <row r="36" spans="1:18" x14ac:dyDescent="0.2">
      <c r="A36" s="551"/>
      <c r="B36" s="552"/>
      <c r="C36" s="552"/>
      <c r="D36" s="552" t="s">
        <v>470</v>
      </c>
      <c r="E36" s="553">
        <f>Datos!L73</f>
        <v>0</v>
      </c>
      <c r="F36" s="374"/>
      <c r="G36" s="374"/>
      <c r="H36" s="374"/>
      <c r="I36" s="509"/>
      <c r="J36" s="6"/>
      <c r="K36" s="6"/>
      <c r="L36" s="6"/>
      <c r="M36" s="6"/>
      <c r="N36" s="6"/>
      <c r="O36" s="6"/>
      <c r="P36" s="6"/>
      <c r="Q36" s="6"/>
      <c r="R36" s="6"/>
    </row>
    <row r="37" spans="1:18" x14ac:dyDescent="0.2">
      <c r="A37" s="507"/>
      <c r="B37" s="508"/>
      <c r="C37" s="508"/>
      <c r="D37" s="508"/>
      <c r="E37" s="508"/>
      <c r="F37" s="374"/>
      <c r="G37" s="374"/>
      <c r="H37" s="374"/>
      <c r="I37" s="509"/>
      <c r="J37" s="6"/>
      <c r="K37" s="6"/>
      <c r="L37" s="6"/>
      <c r="M37" s="6"/>
      <c r="N37" s="6"/>
      <c r="O37" s="6"/>
      <c r="P37" s="6"/>
      <c r="Q37" s="6"/>
      <c r="R37" s="6"/>
    </row>
    <row r="38" spans="1:18" x14ac:dyDescent="0.2">
      <c r="A38" s="544" t="s">
        <v>228</v>
      </c>
      <c r="B38" s="545"/>
      <c r="C38" s="545"/>
      <c r="D38" s="545"/>
      <c r="E38" s="546"/>
      <c r="F38" s="374"/>
      <c r="G38" s="374"/>
      <c r="H38" s="374"/>
      <c r="I38" s="509"/>
      <c r="J38" s="6"/>
      <c r="K38" s="6"/>
      <c r="L38" s="6"/>
      <c r="M38" s="6"/>
      <c r="N38" s="6"/>
      <c r="O38" s="6"/>
      <c r="P38" s="6"/>
      <c r="Q38" s="6"/>
      <c r="R38" s="6"/>
    </row>
    <row r="39" spans="1:18" x14ac:dyDescent="0.2">
      <c r="A39" s="510" t="s">
        <v>232</v>
      </c>
      <c r="B39" s="374"/>
      <c r="C39" s="374"/>
      <c r="D39" s="374"/>
      <c r="E39" s="534"/>
      <c r="F39" s="374"/>
      <c r="G39" s="374"/>
      <c r="H39" s="374"/>
      <c r="I39" s="509"/>
      <c r="J39" s="6"/>
      <c r="K39" s="6"/>
      <c r="L39" s="6"/>
      <c r="M39" s="6"/>
      <c r="N39" s="6"/>
      <c r="O39" s="6"/>
      <c r="P39" s="6"/>
      <c r="Q39" s="6"/>
      <c r="R39" s="6"/>
    </row>
    <row r="40" spans="1:18" x14ac:dyDescent="0.2">
      <c r="A40" s="510" t="s">
        <v>230</v>
      </c>
      <c r="B40" s="1228">
        <f>Datos!R86</f>
        <v>0</v>
      </c>
      <c r="C40" s="1228"/>
      <c r="D40" s="374"/>
      <c r="E40" s="527"/>
      <c r="F40" s="511"/>
      <c r="G40" s="511"/>
      <c r="H40" s="511"/>
      <c r="I40" s="509"/>
      <c r="J40" s="6"/>
      <c r="K40" s="6"/>
      <c r="L40" s="6"/>
      <c r="M40" s="6"/>
      <c r="N40" s="6"/>
      <c r="O40" s="6"/>
      <c r="P40" s="6"/>
      <c r="Q40" s="6"/>
      <c r="R40" s="6"/>
    </row>
    <row r="41" spans="1:18" x14ac:dyDescent="0.2">
      <c r="A41" s="510" t="s">
        <v>215</v>
      </c>
      <c r="B41" s="374"/>
      <c r="C41" s="374"/>
      <c r="D41" s="547">
        <f>Datos!D87</f>
        <v>0</v>
      </c>
      <c r="E41" s="548">
        <f>Datos!L87</f>
        <v>0</v>
      </c>
      <c r="F41" s="511"/>
      <c r="G41" s="511"/>
      <c r="H41" s="511"/>
      <c r="I41" s="509"/>
      <c r="J41" s="6"/>
      <c r="K41" s="6"/>
      <c r="L41" s="6"/>
      <c r="M41" s="6"/>
      <c r="N41" s="6"/>
      <c r="O41" s="6"/>
      <c r="P41" s="6"/>
      <c r="Q41" s="6"/>
      <c r="R41" s="6"/>
    </row>
    <row r="42" spans="1:18" x14ac:dyDescent="0.2">
      <c r="A42" s="510" t="s">
        <v>216</v>
      </c>
      <c r="B42" s="549">
        <f>Datos!D88</f>
        <v>1.2500000000000001E-2</v>
      </c>
      <c r="C42" s="521" t="s">
        <v>682</v>
      </c>
      <c r="D42" s="547">
        <f>Datos!L88</f>
        <v>0</v>
      </c>
      <c r="E42" s="550">
        <f>Datos!R88</f>
        <v>0</v>
      </c>
      <c r="F42" s="511"/>
      <c r="G42" s="511"/>
      <c r="H42" s="511"/>
      <c r="I42" s="509"/>
      <c r="J42" s="6"/>
      <c r="K42" s="6"/>
      <c r="L42" s="6"/>
      <c r="M42" s="6"/>
      <c r="N42" s="6"/>
      <c r="O42" s="6"/>
      <c r="P42" s="6"/>
      <c r="Q42" s="6"/>
      <c r="R42" s="6"/>
    </row>
    <row r="43" spans="1:18" x14ac:dyDescent="0.2">
      <c r="A43" s="551"/>
      <c r="B43" s="552"/>
      <c r="C43" s="554" t="s">
        <v>217</v>
      </c>
      <c r="D43" s="555" t="str">
        <f>Datos!G86</f>
        <v>Mínimo</v>
      </c>
      <c r="E43" s="553">
        <f>Datos!L86</f>
        <v>0</v>
      </c>
      <c r="F43" s="511"/>
      <c r="G43" s="511"/>
      <c r="H43" s="511"/>
      <c r="I43" s="509"/>
      <c r="J43" s="6"/>
      <c r="K43" s="6"/>
      <c r="L43" s="6"/>
      <c r="M43" s="6"/>
      <c r="N43" s="6"/>
      <c r="O43" s="6"/>
      <c r="P43" s="6"/>
      <c r="Q43" s="6"/>
      <c r="R43" s="6"/>
    </row>
    <row r="44" spans="1:18" x14ac:dyDescent="0.2">
      <c r="A44" s="507"/>
      <c r="B44" s="508"/>
      <c r="C44" s="508"/>
      <c r="D44" s="508"/>
      <c r="E44" s="556"/>
      <c r="F44" s="374"/>
      <c r="G44" s="511"/>
      <c r="H44" s="511"/>
      <c r="I44" s="509"/>
      <c r="J44" s="6"/>
      <c r="K44" s="6"/>
      <c r="L44" s="6"/>
      <c r="M44" s="6"/>
      <c r="N44" s="6"/>
      <c r="O44" s="6"/>
      <c r="P44" s="6"/>
      <c r="Q44" s="6"/>
      <c r="R44" s="6"/>
    </row>
    <row r="45" spans="1:18" x14ac:dyDescent="0.2">
      <c r="A45" s="544" t="s">
        <v>233</v>
      </c>
      <c r="B45" s="545"/>
      <c r="C45" s="545" t="s">
        <v>472</v>
      </c>
      <c r="D45" s="545"/>
      <c r="E45" s="546"/>
      <c r="F45" s="374"/>
      <c r="G45" s="511"/>
      <c r="H45" s="511"/>
      <c r="I45" s="509"/>
      <c r="J45" s="6"/>
      <c r="K45" s="6"/>
      <c r="L45" s="6"/>
      <c r="M45" s="6"/>
      <c r="N45" s="6"/>
      <c r="O45" s="6"/>
      <c r="P45" s="6"/>
      <c r="Q45" s="6"/>
      <c r="R45" s="6"/>
    </row>
    <row r="46" spans="1:18" x14ac:dyDescent="0.2">
      <c r="A46" s="557">
        <f>Datos!D96</f>
        <v>0</v>
      </c>
      <c r="B46" s="521" t="s">
        <v>706</v>
      </c>
      <c r="C46" s="558">
        <f>Datos!L96</f>
        <v>0</v>
      </c>
      <c r="D46" s="521" t="s">
        <v>433</v>
      </c>
      <c r="E46" s="559">
        <f>Datos!R97</f>
        <v>0</v>
      </c>
      <c r="F46" s="508"/>
      <c r="G46" s="511"/>
      <c r="H46" s="511"/>
      <c r="I46" s="509"/>
      <c r="J46" s="6"/>
      <c r="K46" s="6"/>
      <c r="L46" s="6"/>
      <c r="M46" s="6"/>
      <c r="N46" s="6"/>
      <c r="O46" s="6"/>
      <c r="P46" s="6"/>
      <c r="Q46" s="6"/>
      <c r="R46" s="6"/>
    </row>
    <row r="47" spans="1:18" x14ac:dyDescent="0.2">
      <c r="A47" s="560">
        <f>Datos!E100</f>
        <v>8.5000000000000006E-2</v>
      </c>
      <c r="B47" s="561">
        <f>Datos!E101</f>
        <v>0.3</v>
      </c>
      <c r="C47" s="561">
        <f>Datos!E102</f>
        <v>0.16</v>
      </c>
      <c r="D47" s="562" t="s">
        <v>596</v>
      </c>
      <c r="E47" s="563">
        <f>Datos!R100</f>
        <v>0</v>
      </c>
      <c r="F47" s="374"/>
      <c r="G47" s="511"/>
      <c r="H47" s="511"/>
      <c r="I47" s="509"/>
      <c r="J47" s="6"/>
      <c r="K47" s="6"/>
      <c r="L47" s="6"/>
      <c r="M47" s="6"/>
      <c r="N47" s="6"/>
      <c r="O47" s="6"/>
      <c r="P47" s="6"/>
      <c r="Q47" s="6"/>
      <c r="R47" s="6"/>
    </row>
    <row r="48" spans="1:18" x14ac:dyDescent="0.2">
      <c r="A48" s="507"/>
      <c r="B48" s="374" t="s">
        <v>327</v>
      </c>
      <c r="C48" s="233"/>
      <c r="D48" s="564" t="str">
        <f>Datos!E103</f>
        <v>Si</v>
      </c>
      <c r="E48" s="550">
        <f>Datos!R101</f>
        <v>0</v>
      </c>
      <c r="F48" s="374"/>
      <c r="G48" s="511"/>
      <c r="H48" s="511"/>
      <c r="I48" s="509"/>
      <c r="J48" s="6"/>
      <c r="K48" s="6"/>
      <c r="L48" s="6"/>
      <c r="M48" s="6"/>
      <c r="N48" s="6"/>
      <c r="O48" s="6"/>
      <c r="P48" s="6"/>
      <c r="Q48" s="6"/>
      <c r="R48" s="6"/>
    </row>
    <row r="49" spans="1:18" x14ac:dyDescent="0.2">
      <c r="A49" s="565"/>
      <c r="B49" s="566"/>
      <c r="C49" s="567"/>
      <c r="D49" s="552" t="s">
        <v>597</v>
      </c>
      <c r="E49" s="568">
        <f>Datos!R102</f>
        <v>0</v>
      </c>
      <c r="F49" s="511"/>
      <c r="G49" s="511"/>
      <c r="H49" s="511"/>
      <c r="I49" s="509"/>
      <c r="J49" s="6"/>
      <c r="K49" s="6"/>
      <c r="L49" s="6"/>
      <c r="M49" s="6"/>
      <c r="N49" s="6"/>
      <c r="O49" s="6"/>
      <c r="P49" s="6"/>
      <c r="Q49" s="6"/>
      <c r="R49" s="6"/>
    </row>
    <row r="50" spans="1:18" x14ac:dyDescent="0.2">
      <c r="A50" s="510"/>
      <c r="B50" s="374"/>
      <c r="C50" s="569"/>
      <c r="D50" s="374"/>
      <c r="E50" s="533"/>
      <c r="F50" s="511"/>
      <c r="G50" s="511"/>
      <c r="H50" s="511"/>
      <c r="I50" s="509"/>
      <c r="J50" s="6"/>
      <c r="K50" s="6"/>
      <c r="L50" s="6"/>
      <c r="M50" s="6"/>
      <c r="N50" s="6"/>
      <c r="O50" s="6"/>
      <c r="P50" s="6"/>
      <c r="Q50" s="6"/>
      <c r="R50" s="6"/>
    </row>
    <row r="51" spans="1:18" x14ac:dyDescent="0.2">
      <c r="A51" s="544" t="s">
        <v>233</v>
      </c>
      <c r="B51" s="545"/>
      <c r="C51" s="570" t="s">
        <v>474</v>
      </c>
      <c r="D51" s="545"/>
      <c r="E51" s="571"/>
      <c r="F51" s="511"/>
      <c r="G51" s="511"/>
      <c r="H51" s="511"/>
      <c r="I51" s="509"/>
      <c r="J51" s="6"/>
      <c r="K51" s="6"/>
      <c r="L51" s="6"/>
      <c r="M51" s="6"/>
      <c r="N51" s="6"/>
      <c r="O51" s="6"/>
      <c r="P51" s="6"/>
      <c r="Q51" s="6"/>
      <c r="R51" s="6"/>
    </row>
    <row r="52" spans="1:18" x14ac:dyDescent="0.2">
      <c r="A52" s="510"/>
      <c r="B52" s="374"/>
      <c r="C52" s="569"/>
      <c r="D52" s="374"/>
      <c r="E52" s="572"/>
      <c r="F52" s="511"/>
      <c r="G52" s="511"/>
      <c r="H52" s="511"/>
      <c r="I52" s="509"/>
      <c r="J52" s="6"/>
      <c r="K52" s="6"/>
      <c r="L52" s="6"/>
      <c r="M52" s="6"/>
      <c r="N52" s="6"/>
      <c r="O52" s="6"/>
      <c r="P52" s="6"/>
      <c r="Q52" s="6"/>
      <c r="R52" s="6"/>
    </row>
    <row r="53" spans="1:18" x14ac:dyDescent="0.2">
      <c r="A53" s="510" t="s">
        <v>230</v>
      </c>
      <c r="B53" s="573">
        <f>Datos!D107</f>
        <v>0</v>
      </c>
      <c r="C53" s="374"/>
      <c r="D53" s="374"/>
      <c r="E53" s="548"/>
      <c r="F53" s="511"/>
      <c r="G53" s="511"/>
      <c r="H53" s="511"/>
      <c r="I53" s="509"/>
      <c r="J53" s="6"/>
      <c r="K53" s="6"/>
      <c r="L53" s="6"/>
      <c r="M53" s="6"/>
      <c r="N53" s="6"/>
      <c r="O53" s="6"/>
      <c r="P53" s="6"/>
      <c r="Q53" s="6"/>
      <c r="R53" s="6"/>
    </row>
    <row r="54" spans="1:18" x14ac:dyDescent="0.2">
      <c r="A54" s="510" t="s">
        <v>215</v>
      </c>
      <c r="B54" s="374"/>
      <c r="C54" s="374"/>
      <c r="D54" s="547">
        <f>Datos!D109</f>
        <v>0</v>
      </c>
      <c r="E54" s="574">
        <f>Datos!L109</f>
        <v>0</v>
      </c>
      <c r="F54" s="511"/>
      <c r="G54" s="511"/>
      <c r="H54" s="511"/>
      <c r="I54" s="509"/>
      <c r="J54" s="6"/>
      <c r="K54" s="6"/>
      <c r="L54" s="6"/>
      <c r="M54" s="6"/>
      <c r="N54" s="6"/>
      <c r="O54" s="6"/>
      <c r="P54" s="6"/>
      <c r="Q54" s="6"/>
      <c r="R54" s="6"/>
    </row>
    <row r="55" spans="1:18" x14ac:dyDescent="0.2">
      <c r="A55" s="510" t="s">
        <v>216</v>
      </c>
      <c r="B55" s="549">
        <f>Datos!D110</f>
        <v>0.05</v>
      </c>
      <c r="C55" s="521" t="s">
        <v>682</v>
      </c>
      <c r="D55" s="575">
        <f>Datos!L110</f>
        <v>0</v>
      </c>
      <c r="E55" s="576">
        <f>Datos!R110</f>
        <v>0</v>
      </c>
      <c r="F55" s="511"/>
      <c r="G55" s="511"/>
      <c r="H55" s="511"/>
      <c r="I55" s="509"/>
      <c r="J55" s="6"/>
      <c r="K55" s="6"/>
      <c r="L55" s="6"/>
      <c r="M55" s="6"/>
      <c r="N55" s="6"/>
      <c r="O55" s="6"/>
      <c r="P55" s="6"/>
      <c r="Q55" s="6"/>
      <c r="R55" s="6"/>
    </row>
    <row r="56" spans="1:18" x14ac:dyDescent="0.2">
      <c r="A56" s="551"/>
      <c r="B56" s="552"/>
      <c r="C56" s="552"/>
      <c r="D56" s="552" t="s">
        <v>471</v>
      </c>
      <c r="E56" s="553">
        <f>Datos!R111</f>
        <v>0</v>
      </c>
      <c r="F56" s="511"/>
      <c r="G56" s="511"/>
      <c r="H56" s="511"/>
      <c r="I56" s="509"/>
      <c r="J56" s="6"/>
      <c r="K56" s="6"/>
      <c r="L56" s="6"/>
      <c r="M56" s="6"/>
      <c r="N56" s="6"/>
      <c r="O56" s="6"/>
      <c r="P56" s="6"/>
      <c r="Q56" s="6"/>
      <c r="R56" s="6"/>
    </row>
    <row r="57" spans="1:18" x14ac:dyDescent="0.2">
      <c r="A57" s="507"/>
      <c r="B57" s="508"/>
      <c r="C57" s="508"/>
      <c r="D57" s="508"/>
      <c r="E57" s="508"/>
      <c r="F57" s="511"/>
      <c r="G57" s="511"/>
      <c r="H57" s="511"/>
      <c r="I57" s="509"/>
      <c r="J57" s="6"/>
      <c r="K57" s="6"/>
      <c r="L57" s="6"/>
      <c r="M57" s="6"/>
      <c r="N57" s="6"/>
      <c r="O57" s="6"/>
      <c r="P57" s="6"/>
      <c r="Q57" s="6"/>
      <c r="R57" s="6"/>
    </row>
    <row r="58" spans="1:18" x14ac:dyDescent="0.2">
      <c r="A58" s="544" t="s">
        <v>234</v>
      </c>
      <c r="B58" s="545"/>
      <c r="C58" s="545"/>
      <c r="D58" s="545"/>
      <c r="E58" s="546"/>
      <c r="F58" s="511"/>
      <c r="G58" s="511"/>
      <c r="H58" s="511"/>
      <c r="I58" s="509"/>
      <c r="J58" s="6"/>
      <c r="K58" s="6"/>
      <c r="L58" s="6"/>
      <c r="M58" s="6"/>
      <c r="N58" s="6"/>
      <c r="O58" s="6"/>
      <c r="P58" s="6"/>
      <c r="Q58" s="6"/>
      <c r="R58" s="6"/>
    </row>
    <row r="59" spans="1:18" x14ac:dyDescent="0.2">
      <c r="A59" s="718" t="s">
        <v>235</v>
      </c>
      <c r="B59" s="577">
        <f>Datos!K62</f>
        <v>0</v>
      </c>
      <c r="C59" s="578" t="s">
        <v>191</v>
      </c>
      <c r="D59" s="579">
        <f>Datos!L73</f>
        <v>0</v>
      </c>
      <c r="E59" s="572">
        <f>Datos!H114</f>
        <v>0</v>
      </c>
      <c r="F59" s="374"/>
      <c r="G59" s="374"/>
      <c r="H59" s="374"/>
      <c r="I59" s="509"/>
      <c r="J59" s="6"/>
      <c r="K59" s="6"/>
      <c r="L59" s="6"/>
      <c r="M59" s="6"/>
      <c r="N59" s="6"/>
      <c r="O59" s="6"/>
      <c r="P59" s="6"/>
      <c r="Q59" s="6"/>
      <c r="R59" s="6"/>
    </row>
    <row r="60" spans="1:18" x14ac:dyDescent="0.2">
      <c r="A60" s="580"/>
      <c r="B60" s="581" t="s">
        <v>473</v>
      </c>
      <c r="C60" s="508"/>
      <c r="D60" s="582" t="str">
        <f>Datos!G86</f>
        <v>Mínimo</v>
      </c>
      <c r="E60" s="583">
        <f>Datos!H115</f>
        <v>0</v>
      </c>
      <c r="F60" s="374"/>
      <c r="G60" s="374"/>
      <c r="H60" s="374"/>
      <c r="I60" s="509"/>
      <c r="J60" s="6"/>
      <c r="K60" s="6"/>
      <c r="L60" s="6"/>
      <c r="M60" s="6"/>
      <c r="N60" s="6"/>
      <c r="O60" s="6"/>
      <c r="P60" s="6"/>
      <c r="Q60" s="6"/>
      <c r="R60" s="6"/>
    </row>
    <row r="61" spans="1:18" x14ac:dyDescent="0.2">
      <c r="A61" s="584"/>
      <c r="B61" s="581" t="s">
        <v>648</v>
      </c>
      <c r="C61" s="715">
        <f>Datos!F116</f>
        <v>0</v>
      </c>
      <c r="D61" s="508"/>
      <c r="E61" s="585">
        <f>Datos!H116</f>
        <v>0</v>
      </c>
      <c r="F61" s="508"/>
      <c r="G61" s="508"/>
      <c r="H61" s="508"/>
      <c r="I61" s="509"/>
      <c r="J61" s="6"/>
      <c r="K61" s="6"/>
      <c r="L61" s="6"/>
      <c r="M61" s="6"/>
      <c r="N61" s="6"/>
      <c r="O61" s="6"/>
      <c r="P61" s="6"/>
      <c r="Q61" s="6"/>
      <c r="R61" s="6"/>
    </row>
    <row r="62" spans="1:18" x14ac:dyDescent="0.2">
      <c r="A62" s="718" t="s">
        <v>205</v>
      </c>
      <c r="B62" s="586">
        <f>Datos!K63</f>
        <v>0</v>
      </c>
      <c r="C62" s="578" t="s">
        <v>191</v>
      </c>
      <c r="D62" s="587">
        <f>Datos!L73</f>
        <v>0</v>
      </c>
      <c r="E62" s="588">
        <f>Datos!H118</f>
        <v>0</v>
      </c>
      <c r="F62" s="233"/>
      <c r="G62" s="511"/>
      <c r="H62" s="374"/>
      <c r="I62" s="534"/>
      <c r="J62" s="6"/>
      <c r="K62" s="6"/>
      <c r="L62" s="6"/>
      <c r="M62" s="6"/>
      <c r="N62" s="6"/>
      <c r="O62" s="6"/>
      <c r="P62" s="6"/>
      <c r="Q62" s="6"/>
      <c r="R62" s="6"/>
    </row>
    <row r="63" spans="1:18" x14ac:dyDescent="0.2">
      <c r="A63" s="580"/>
      <c r="B63" s="589" t="s">
        <v>598</v>
      </c>
      <c r="C63" s="1215" t="str">
        <f>IF( Datos!K64=0%,"Otro Prof. asume la Construcción",IF(Datos!K64&lt;=20%,"Estudio de Proyecto",IF(Datos!K64&lt;=45%,"Contratos Separados",IF(Datos!K64&gt;=75%,"Direccion Ejecutiva",IF(Datos!K64=60%,IF(Datos!K63=40%,"Contratos Separados","Direccion Ejecutiva"))))))</f>
        <v>Otro Prof. asume la Construcción</v>
      </c>
      <c r="D63" s="1215"/>
      <c r="E63" s="509"/>
      <c r="F63" s="551"/>
      <c r="G63" s="590"/>
      <c r="H63" s="374"/>
      <c r="I63" s="534"/>
      <c r="J63" s="6"/>
      <c r="K63" s="6"/>
      <c r="L63" s="6"/>
      <c r="M63" s="6"/>
      <c r="N63" s="6"/>
      <c r="O63" s="6"/>
      <c r="P63" s="6"/>
      <c r="Q63" s="6"/>
      <c r="R63" s="6"/>
    </row>
    <row r="64" spans="1:18" x14ac:dyDescent="0.2">
      <c r="A64" s="591">
        <f>Datos!K64</f>
        <v>0</v>
      </c>
      <c r="B64" s="592" t="s">
        <v>191</v>
      </c>
      <c r="C64" s="593">
        <f>Datos!L73</f>
        <v>0</v>
      </c>
      <c r="D64" s="594"/>
      <c r="E64" s="585">
        <f>Datos!H120</f>
        <v>0</v>
      </c>
      <c r="F64" s="1223">
        <f>Datos!K18</f>
        <v>0</v>
      </c>
      <c r="G64" s="1224"/>
      <c r="H64" s="508"/>
      <c r="I64" s="509"/>
      <c r="J64" s="6"/>
      <c r="K64" s="6"/>
      <c r="L64" s="6"/>
      <c r="M64" s="6"/>
      <c r="N64" s="6"/>
      <c r="O64" s="6"/>
      <c r="P64" s="6"/>
      <c r="Q64" s="6"/>
      <c r="R64" s="6"/>
    </row>
    <row r="65" spans="1:18" x14ac:dyDescent="0.2">
      <c r="A65" s="591"/>
      <c r="B65" s="581" t="s">
        <v>647</v>
      </c>
      <c r="C65" s="716">
        <f>Datos!K63</f>
        <v>0</v>
      </c>
      <c r="D65" s="594"/>
      <c r="E65" s="583">
        <f>Datos!H119</f>
        <v>0</v>
      </c>
      <c r="F65" s="594" t="s">
        <v>227</v>
      </c>
      <c r="G65" s="595">
        <f>Datos!K26</f>
        <v>0</v>
      </c>
      <c r="H65" s="508"/>
      <c r="I65" s="509"/>
      <c r="J65" s="6"/>
      <c r="K65" s="6"/>
      <c r="L65" s="6"/>
      <c r="M65" s="6"/>
      <c r="N65" s="6"/>
      <c r="O65" s="6"/>
      <c r="P65" s="6"/>
      <c r="Q65" s="6"/>
      <c r="R65" s="6"/>
    </row>
    <row r="66" spans="1:18" x14ac:dyDescent="0.2">
      <c r="A66" s="591"/>
      <c r="B66" s="581" t="s">
        <v>646</v>
      </c>
      <c r="C66" s="593" t="str">
        <f>IF( Datos!K64=0%,"Otro Prof. asume la Construcción",IF(Datos!K64&lt;=20%,"Estudio de Proyecto",IF(Datos!K64&lt;=45%,"Contratos Separados",IF(Datos!K64&gt;=75%,"Direccion Ejecutiva",IF(Datos!K64=60%,IF(Datos!K63=40%,"Contratos Separados","Direccion Ejecutiva"))))))</f>
        <v>Otro Prof. asume la Construcción</v>
      </c>
      <c r="D66" s="594"/>
      <c r="E66" s="583">
        <f>Datos!H121</f>
        <v>0</v>
      </c>
      <c r="F66" s="508"/>
      <c r="G66" s="508"/>
      <c r="H66" s="508"/>
      <c r="I66" s="509"/>
      <c r="J66" s="6"/>
      <c r="K66" s="6"/>
      <c r="L66" s="6"/>
      <c r="M66" s="6"/>
      <c r="N66" s="6"/>
      <c r="O66" s="6"/>
      <c r="P66" s="6"/>
      <c r="Q66" s="6"/>
      <c r="R66" s="6"/>
    </row>
    <row r="67" spans="1:18" x14ac:dyDescent="0.2">
      <c r="A67" s="1237" t="s">
        <v>731</v>
      </c>
      <c r="B67" s="1238"/>
      <c r="C67" s="1238"/>
      <c r="D67" s="594"/>
      <c r="E67" s="583">
        <f>Datos!H122</f>
        <v>0</v>
      </c>
      <c r="F67" s="565"/>
      <c r="G67" s="596"/>
      <c r="H67" s="508"/>
      <c r="I67" s="509"/>
      <c r="J67" s="6"/>
      <c r="K67" s="6"/>
      <c r="L67" s="6"/>
      <c r="M67" s="6"/>
      <c r="N67" s="6"/>
      <c r="O67" s="6"/>
      <c r="P67" s="6"/>
      <c r="Q67" s="6"/>
      <c r="R67" s="6"/>
    </row>
    <row r="68" spans="1:18" ht="13.5" thickBot="1" x14ac:dyDescent="0.25">
      <c r="A68" s="565"/>
      <c r="B68" s="597"/>
      <c r="C68" s="598" t="s">
        <v>71</v>
      </c>
      <c r="D68" s="599" t="str">
        <f>Datos!P125</f>
        <v>Mínimo</v>
      </c>
      <c r="E68" s="600">
        <f>E59+E60+E61+E62+E64+E65+E66+E67</f>
        <v>0</v>
      </c>
      <c r="F68" s="1235" t="s">
        <v>236</v>
      </c>
      <c r="G68" s="1236"/>
      <c r="H68" s="374"/>
      <c r="I68" s="534"/>
      <c r="J68" s="6"/>
      <c r="K68" s="6"/>
      <c r="L68" s="6"/>
      <c r="M68" s="6"/>
      <c r="N68" s="6"/>
      <c r="O68" s="6"/>
      <c r="P68" s="6"/>
      <c r="Q68" s="6"/>
      <c r="R68" s="6"/>
    </row>
    <row r="69" spans="1:18" ht="13.5" thickBot="1" x14ac:dyDescent="0.25">
      <c r="A69" s="601"/>
      <c r="B69" s="602"/>
      <c r="C69" s="602" t="s">
        <v>237</v>
      </c>
      <c r="D69" s="603"/>
      <c r="E69" s="604">
        <f>Datos!H129</f>
        <v>0</v>
      </c>
      <c r="F69" s="605" t="s">
        <v>342</v>
      </c>
      <c r="G69" s="606">
        <f>Datos!T131</f>
        <v>0</v>
      </c>
      <c r="H69" s="607"/>
      <c r="I69" s="608"/>
      <c r="J69" s="6"/>
      <c r="K69" s="6"/>
      <c r="L69" s="6"/>
      <c r="M69" s="6"/>
      <c r="N69" s="6"/>
      <c r="O69" s="6"/>
      <c r="P69" s="6"/>
      <c r="Q69" s="6"/>
      <c r="R69" s="6"/>
    </row>
    <row r="70" spans="1:18" x14ac:dyDescent="0.2">
      <c r="A70" s="609" t="s">
        <v>238</v>
      </c>
      <c r="B70" s="374"/>
      <c r="C70" s="374"/>
      <c r="D70" s="610"/>
      <c r="E70" s="374"/>
      <c r="F70" s="374"/>
      <c r="G70" s="374"/>
      <c r="H70" s="374"/>
      <c r="I70" s="611"/>
      <c r="J70" s="6"/>
      <c r="K70" s="6"/>
      <c r="L70" s="6"/>
      <c r="M70" s="6"/>
      <c r="N70" s="6"/>
      <c r="O70" s="6"/>
      <c r="P70" s="6"/>
      <c r="Q70" s="6"/>
      <c r="R70" s="6"/>
    </row>
    <row r="71" spans="1:18" x14ac:dyDescent="0.2">
      <c r="A71" s="612" t="s">
        <v>221</v>
      </c>
      <c r="B71" s="613"/>
      <c r="C71" s="614" t="s">
        <v>218</v>
      </c>
      <c r="D71" s="614" t="s">
        <v>219</v>
      </c>
      <c r="E71" s="1239" t="s">
        <v>220</v>
      </c>
      <c r="F71" s="1240"/>
      <c r="G71" s="526"/>
      <c r="H71" s="526"/>
      <c r="I71" s="611"/>
      <c r="J71" s="6"/>
      <c r="K71" s="6"/>
      <c r="L71" s="6"/>
      <c r="M71" s="6"/>
      <c r="N71" s="6"/>
      <c r="O71" s="6"/>
      <c r="P71" s="6"/>
      <c r="Q71" s="6"/>
      <c r="R71" s="6"/>
    </row>
    <row r="72" spans="1:18" x14ac:dyDescent="0.2">
      <c r="A72" s="615" t="str">
        <f>Datos!K158</f>
        <v>MINIMO $2750</v>
      </c>
      <c r="B72" s="613"/>
      <c r="C72" s="616">
        <f>Datos!K156</f>
        <v>0</v>
      </c>
      <c r="D72" s="616">
        <f>Datos!K157</f>
        <v>0</v>
      </c>
      <c r="E72" s="617">
        <f>Datos!K159</f>
        <v>2750</v>
      </c>
      <c r="F72" s="618"/>
      <c r="G72" s="526"/>
      <c r="H72" s="526"/>
      <c r="I72" s="611"/>
      <c r="J72" s="6"/>
      <c r="K72" s="6"/>
      <c r="L72" s="6"/>
      <c r="M72" s="6"/>
      <c r="N72" s="6"/>
      <c r="O72" s="6"/>
      <c r="P72" s="6"/>
      <c r="Q72" s="6"/>
      <c r="R72" s="6"/>
    </row>
    <row r="73" spans="1:18" x14ac:dyDescent="0.2">
      <c r="A73" s="120"/>
      <c r="B73" s="126"/>
      <c r="C73" s="127"/>
      <c r="D73" s="128"/>
      <c r="E73" s="129"/>
      <c r="F73" s="217"/>
      <c r="G73" s="46"/>
      <c r="H73" s="46"/>
      <c r="I73" s="125"/>
      <c r="J73" s="6"/>
      <c r="K73" s="6"/>
      <c r="L73" s="6"/>
      <c r="M73" s="6"/>
      <c r="N73" s="6"/>
      <c r="O73" s="6"/>
      <c r="P73" s="6"/>
      <c r="Q73" s="6"/>
      <c r="R73" s="6"/>
    </row>
    <row r="74" spans="1:18" x14ac:dyDescent="0.2">
      <c r="A74" s="119" t="s">
        <v>496</v>
      </c>
      <c r="B74" s="121"/>
      <c r="C74" s="121"/>
      <c r="D74" s="121"/>
      <c r="E74" s="121"/>
      <c r="F74" s="130"/>
      <c r="G74" s="118" t="s">
        <v>495</v>
      </c>
      <c r="H74" s="619">
        <f>Datos!K27</f>
        <v>0</v>
      </c>
      <c r="I74" s="131"/>
      <c r="J74" s="6"/>
      <c r="K74" s="6"/>
      <c r="L74" s="6"/>
      <c r="M74" s="6"/>
      <c r="N74" s="6"/>
      <c r="O74" s="6"/>
      <c r="P74" s="6"/>
      <c r="Q74" s="6"/>
      <c r="R74" s="6"/>
    </row>
    <row r="75" spans="1:18" x14ac:dyDescent="0.2">
      <c r="A75" s="612" t="s">
        <v>221</v>
      </c>
      <c r="B75" s="620"/>
      <c r="C75" s="614" t="s">
        <v>218</v>
      </c>
      <c r="D75" s="614" t="s">
        <v>219</v>
      </c>
      <c r="E75" s="1239" t="s">
        <v>340</v>
      </c>
      <c r="F75" s="1240"/>
      <c r="G75" s="1216" t="s">
        <v>341</v>
      </c>
      <c r="H75" s="1217"/>
      <c r="I75" s="117"/>
      <c r="J75" s="6"/>
      <c r="K75" s="6"/>
      <c r="L75" s="6"/>
      <c r="M75" s="6"/>
      <c r="N75" s="6"/>
      <c r="O75" s="6"/>
      <c r="P75" s="6"/>
      <c r="Q75" s="6"/>
      <c r="R75" s="6"/>
    </row>
    <row r="76" spans="1:18" x14ac:dyDescent="0.2">
      <c r="A76" s="615">
        <f>Datos!K142</f>
        <v>0</v>
      </c>
      <c r="B76" s="620"/>
      <c r="C76" s="616">
        <f>Datos!K143</f>
        <v>0</v>
      </c>
      <c r="D76" s="616">
        <f>Datos!K144</f>
        <v>0</v>
      </c>
      <c r="E76" s="617">
        <f>Datos!K145</f>
        <v>0</v>
      </c>
      <c r="F76" s="618"/>
      <c r="G76" s="1231" t="e">
        <f>Datos!K145/Datos!G145</f>
        <v>#DIV/0!</v>
      </c>
      <c r="H76" s="1232"/>
      <c r="I76" s="131"/>
      <c r="J76" s="6"/>
      <c r="K76" s="6"/>
      <c r="L76" s="6"/>
      <c r="M76" s="6"/>
      <c r="N76" s="6"/>
      <c r="O76" s="6"/>
      <c r="P76" s="6"/>
      <c r="Q76" s="6"/>
      <c r="R76" s="6"/>
    </row>
    <row r="77" spans="1:18" x14ac:dyDescent="0.2">
      <c r="A77" s="615">
        <f>Datos!K146</f>
        <v>0</v>
      </c>
      <c r="B77" s="620"/>
      <c r="C77" s="616">
        <f>Datos!K147</f>
        <v>0</v>
      </c>
      <c r="D77" s="616">
        <f>Datos!K148</f>
        <v>0</v>
      </c>
      <c r="E77" s="617">
        <f>Datos!K149</f>
        <v>0</v>
      </c>
      <c r="F77" s="618"/>
      <c r="G77" s="1231" t="e">
        <f>Datos!K149/Datos!G145</f>
        <v>#DIV/0!</v>
      </c>
      <c r="H77" s="1232"/>
      <c r="I77" s="132"/>
      <c r="J77" s="6"/>
      <c r="K77" s="6"/>
      <c r="L77" s="6"/>
      <c r="M77" s="6"/>
      <c r="N77" s="6"/>
      <c r="O77" s="6"/>
      <c r="P77" s="6"/>
      <c r="Q77" s="6"/>
      <c r="R77" s="6"/>
    </row>
    <row r="78" spans="1:18" x14ac:dyDescent="0.2">
      <c r="A78" s="218"/>
      <c r="B78" s="130"/>
      <c r="C78" s="219"/>
      <c r="D78" s="220"/>
      <c r="E78" s="1233"/>
      <c r="F78" s="1234"/>
      <c r="G78" s="1229"/>
      <c r="H78" s="1230"/>
      <c r="I78" s="133"/>
      <c r="J78" s="6"/>
      <c r="K78" s="6"/>
      <c r="L78" s="6"/>
      <c r="M78" s="6"/>
      <c r="N78" s="6"/>
      <c r="O78" s="6"/>
      <c r="P78" s="6"/>
      <c r="Q78" s="6"/>
      <c r="R78" s="6"/>
    </row>
    <row r="79" spans="1:18" x14ac:dyDescent="0.2">
      <c r="A79" s="6"/>
      <c r="B79" s="6"/>
      <c r="C79" s="6"/>
      <c r="D79" s="6"/>
      <c r="E79" s="6"/>
      <c r="F79" s="6"/>
      <c r="G79" s="6"/>
      <c r="H79" s="6"/>
      <c r="I79" s="6"/>
      <c r="J79" s="6"/>
      <c r="K79" s="6"/>
      <c r="L79" s="6"/>
      <c r="M79" s="6"/>
      <c r="N79" s="6"/>
      <c r="O79" s="6"/>
      <c r="P79" s="6"/>
      <c r="Q79" s="6"/>
      <c r="R79" s="6"/>
    </row>
    <row r="80" spans="1:18" x14ac:dyDescent="0.2">
      <c r="A80" s="6"/>
      <c r="B80" s="6"/>
      <c r="C80" s="6"/>
      <c r="D80" s="6"/>
      <c r="E80" s="6"/>
      <c r="F80" s="6"/>
      <c r="G80" s="6"/>
      <c r="H80" s="6"/>
      <c r="I80" s="6"/>
      <c r="J80" s="6"/>
      <c r="K80" s="6"/>
      <c r="L80" s="6"/>
      <c r="M80" s="6"/>
      <c r="N80" s="6"/>
      <c r="O80" s="6"/>
      <c r="P80" s="6"/>
      <c r="Q80" s="6"/>
      <c r="R80" s="6"/>
    </row>
    <row r="81" spans="1:18" x14ac:dyDescent="0.2">
      <c r="A81" s="6"/>
      <c r="B81" s="6"/>
      <c r="C81" s="6"/>
      <c r="D81" s="6"/>
      <c r="E81" s="6"/>
      <c r="F81" s="6"/>
      <c r="G81" s="6"/>
      <c r="H81" s="6"/>
      <c r="I81" s="6"/>
      <c r="J81" s="6"/>
      <c r="K81" s="6"/>
      <c r="L81" s="6"/>
      <c r="M81" s="6"/>
      <c r="N81" s="6"/>
      <c r="O81" s="6"/>
      <c r="P81" s="6"/>
      <c r="Q81" s="6"/>
      <c r="R81" s="6"/>
    </row>
    <row r="82" spans="1:18" x14ac:dyDescent="0.2">
      <c r="A82" s="6"/>
      <c r="B82" s="6"/>
      <c r="C82" s="6"/>
      <c r="D82" s="6"/>
      <c r="E82" s="6"/>
      <c r="F82" s="6"/>
      <c r="G82" s="6"/>
      <c r="H82" s="6"/>
      <c r="I82" s="6"/>
      <c r="J82" s="6"/>
      <c r="K82" s="6"/>
      <c r="L82" s="6"/>
      <c r="M82" s="6"/>
      <c r="N82" s="6"/>
      <c r="O82" s="6"/>
      <c r="P82" s="6"/>
      <c r="Q82" s="6"/>
      <c r="R82" s="6"/>
    </row>
    <row r="83" spans="1:18" x14ac:dyDescent="0.2">
      <c r="A83" s="6"/>
      <c r="B83" s="6"/>
      <c r="C83" s="6"/>
      <c r="D83" s="6"/>
      <c r="E83" s="6"/>
      <c r="F83" s="6"/>
      <c r="G83" s="6"/>
      <c r="H83" s="6"/>
      <c r="I83" s="6"/>
      <c r="J83" s="6"/>
      <c r="K83" s="6"/>
      <c r="L83" s="6"/>
      <c r="M83" s="6"/>
      <c r="N83" s="6"/>
      <c r="O83" s="6"/>
      <c r="P83" s="6"/>
      <c r="Q83" s="6"/>
      <c r="R83" s="6"/>
    </row>
    <row r="84" spans="1:18" x14ac:dyDescent="0.2">
      <c r="A84" s="6"/>
      <c r="B84" s="6"/>
      <c r="C84" s="6"/>
      <c r="D84" s="6"/>
      <c r="E84" s="6"/>
      <c r="F84" s="6"/>
      <c r="G84" s="6"/>
      <c r="H84" s="6"/>
      <c r="I84" s="6"/>
      <c r="J84" s="6"/>
      <c r="K84" s="6"/>
      <c r="L84" s="6"/>
      <c r="M84" s="6"/>
      <c r="N84" s="6"/>
      <c r="O84" s="6"/>
      <c r="P84" s="6"/>
      <c r="Q84" s="6"/>
      <c r="R84" s="6"/>
    </row>
    <row r="85" spans="1:18" x14ac:dyDescent="0.2">
      <c r="A85" s="6"/>
      <c r="B85" s="6"/>
      <c r="C85" s="6"/>
      <c r="D85" s="6"/>
      <c r="E85" s="6"/>
      <c r="F85" s="6"/>
      <c r="G85" s="6"/>
      <c r="H85" s="6"/>
      <c r="I85" s="6"/>
      <c r="J85" s="6"/>
      <c r="K85" s="6"/>
      <c r="L85" s="6"/>
      <c r="M85" s="6"/>
      <c r="N85" s="6"/>
      <c r="O85" s="6"/>
      <c r="P85" s="6"/>
      <c r="Q85" s="6"/>
      <c r="R85" s="6"/>
    </row>
    <row r="86" spans="1:18" x14ac:dyDescent="0.2">
      <c r="A86" s="6"/>
      <c r="B86" s="6"/>
      <c r="C86" s="6"/>
      <c r="D86" s="6"/>
      <c r="E86" s="6"/>
      <c r="F86" s="6"/>
      <c r="G86" s="6"/>
      <c r="H86" s="6"/>
      <c r="I86" s="6"/>
      <c r="J86" s="6"/>
      <c r="K86" s="6"/>
      <c r="L86" s="6"/>
      <c r="M86" s="6"/>
      <c r="N86" s="6"/>
      <c r="O86" s="6"/>
      <c r="P86" s="6"/>
      <c r="Q86" s="6"/>
      <c r="R86" s="6"/>
    </row>
    <row r="87" spans="1:18" x14ac:dyDescent="0.2">
      <c r="A87" s="6"/>
      <c r="B87" s="6"/>
      <c r="C87" s="6"/>
      <c r="D87" s="6"/>
      <c r="E87" s="6"/>
      <c r="F87" s="6"/>
      <c r="G87" s="6"/>
      <c r="H87" s="6"/>
      <c r="I87" s="6"/>
      <c r="J87" s="6"/>
      <c r="K87" s="6"/>
      <c r="L87" s="6"/>
      <c r="M87" s="6"/>
      <c r="N87" s="6"/>
      <c r="O87" s="6"/>
      <c r="P87" s="6"/>
      <c r="Q87" s="6"/>
      <c r="R87" s="6"/>
    </row>
    <row r="88" spans="1:18" x14ac:dyDescent="0.2">
      <c r="A88" s="6"/>
      <c r="B88" s="6"/>
      <c r="C88" s="6"/>
      <c r="D88" s="6"/>
      <c r="E88" s="6"/>
      <c r="F88" s="6"/>
      <c r="G88" s="6"/>
      <c r="H88" s="6"/>
      <c r="I88" s="6"/>
      <c r="J88" s="6"/>
      <c r="K88" s="6"/>
      <c r="L88" s="6"/>
      <c r="M88" s="6"/>
      <c r="N88" s="6"/>
      <c r="O88" s="6"/>
      <c r="P88" s="6"/>
      <c r="Q88" s="6"/>
      <c r="R88" s="6"/>
    </row>
    <row r="89" spans="1:18" x14ac:dyDescent="0.2">
      <c r="A89" s="6"/>
      <c r="B89" s="6"/>
      <c r="C89" s="6"/>
      <c r="D89" s="6"/>
      <c r="E89" s="6"/>
      <c r="F89" s="6"/>
      <c r="G89" s="6"/>
      <c r="H89" s="6"/>
      <c r="I89" s="6"/>
      <c r="J89" s="6"/>
      <c r="K89" s="6"/>
      <c r="L89" s="6"/>
      <c r="M89" s="6"/>
      <c r="N89" s="6"/>
      <c r="O89" s="6"/>
      <c r="P89" s="6"/>
      <c r="Q89" s="6"/>
      <c r="R89" s="6"/>
    </row>
    <row r="90" spans="1:18" x14ac:dyDescent="0.2">
      <c r="A90" s="6"/>
      <c r="B90" s="6"/>
      <c r="C90" s="6"/>
      <c r="D90" s="6"/>
      <c r="E90" s="6"/>
      <c r="F90" s="6"/>
      <c r="G90" s="6"/>
      <c r="H90" s="6"/>
      <c r="I90" s="6"/>
      <c r="J90" s="6"/>
      <c r="K90" s="6"/>
      <c r="L90" s="6"/>
      <c r="M90" s="6"/>
      <c r="N90" s="6"/>
      <c r="O90" s="6"/>
      <c r="P90" s="6"/>
      <c r="Q90" s="6"/>
      <c r="R90" s="6"/>
    </row>
    <row r="91" spans="1:18" x14ac:dyDescent="0.2">
      <c r="A91" s="6"/>
      <c r="B91" s="6"/>
      <c r="C91" s="6"/>
      <c r="D91" s="6"/>
      <c r="E91" s="6"/>
      <c r="F91" s="6"/>
      <c r="G91" s="6"/>
      <c r="H91" s="6"/>
      <c r="I91" s="6"/>
      <c r="J91" s="6"/>
      <c r="K91" s="6"/>
      <c r="L91" s="6"/>
      <c r="M91" s="6"/>
      <c r="N91" s="6"/>
      <c r="O91" s="6"/>
      <c r="P91" s="6"/>
      <c r="Q91" s="6"/>
      <c r="R91" s="6"/>
    </row>
    <row r="92" spans="1:18" x14ac:dyDescent="0.2">
      <c r="A92" s="6"/>
      <c r="B92" s="6"/>
      <c r="C92" s="6"/>
      <c r="D92" s="6"/>
      <c r="E92" s="6"/>
      <c r="F92" s="6"/>
      <c r="G92" s="6"/>
      <c r="H92" s="6"/>
      <c r="I92" s="6"/>
      <c r="J92" s="6"/>
      <c r="K92" s="6"/>
      <c r="L92" s="6"/>
      <c r="M92" s="6"/>
      <c r="N92" s="6"/>
      <c r="O92" s="6"/>
      <c r="P92" s="6"/>
      <c r="Q92" s="6"/>
      <c r="R92" s="6"/>
    </row>
    <row r="93" spans="1:18" x14ac:dyDescent="0.2">
      <c r="A93" s="6"/>
      <c r="B93" s="6"/>
      <c r="C93" s="6"/>
      <c r="D93" s="6"/>
      <c r="E93" s="6"/>
      <c r="F93" s="6"/>
      <c r="G93" s="6"/>
      <c r="H93" s="6"/>
      <c r="I93" s="6"/>
      <c r="J93" s="6"/>
      <c r="K93" s="6"/>
      <c r="L93" s="6"/>
      <c r="M93" s="6"/>
      <c r="N93" s="6"/>
      <c r="O93" s="6"/>
      <c r="P93" s="6"/>
      <c r="Q93" s="6"/>
      <c r="R93" s="6"/>
    </row>
    <row r="94" spans="1:18" x14ac:dyDescent="0.2">
      <c r="A94" s="6"/>
      <c r="B94" s="6"/>
      <c r="C94" s="6"/>
      <c r="D94" s="6"/>
      <c r="E94" s="6"/>
      <c r="F94" s="6"/>
      <c r="G94" s="6"/>
      <c r="H94" s="6"/>
      <c r="I94" s="6"/>
      <c r="J94" s="6"/>
      <c r="K94" s="6"/>
      <c r="L94" s="6"/>
      <c r="M94" s="6"/>
      <c r="N94" s="6"/>
      <c r="O94" s="6"/>
      <c r="P94" s="6"/>
      <c r="Q94" s="6"/>
      <c r="R94" s="6"/>
    </row>
    <row r="95" spans="1:18" x14ac:dyDescent="0.2">
      <c r="A95" s="6"/>
      <c r="B95" s="6"/>
      <c r="C95" s="6"/>
      <c r="D95" s="6"/>
      <c r="E95" s="6"/>
      <c r="F95" s="6"/>
      <c r="G95" s="6"/>
      <c r="H95" s="6"/>
      <c r="I95" s="6"/>
      <c r="J95" s="6"/>
      <c r="K95" s="6"/>
      <c r="L95" s="6"/>
      <c r="M95" s="6"/>
      <c r="N95" s="6"/>
      <c r="O95" s="6"/>
      <c r="P95" s="6"/>
      <c r="Q95" s="6"/>
      <c r="R95" s="6"/>
    </row>
    <row r="96" spans="1:18" x14ac:dyDescent="0.2">
      <c r="A96" s="6"/>
      <c r="B96" s="6"/>
      <c r="C96" s="6"/>
      <c r="D96" s="6"/>
      <c r="E96" s="6"/>
      <c r="F96" s="6"/>
      <c r="G96" s="6"/>
      <c r="H96" s="6"/>
      <c r="I96" s="6"/>
      <c r="J96" s="6"/>
      <c r="K96" s="6"/>
      <c r="L96" s="6"/>
      <c r="M96" s="6"/>
      <c r="N96" s="6"/>
      <c r="O96" s="6"/>
      <c r="P96" s="6"/>
      <c r="Q96" s="6"/>
      <c r="R96" s="6"/>
    </row>
    <row r="97" spans="1:18" x14ac:dyDescent="0.2">
      <c r="A97" s="6"/>
      <c r="B97" s="6"/>
      <c r="C97" s="6"/>
      <c r="D97" s="6"/>
      <c r="E97" s="6"/>
      <c r="F97" s="6"/>
      <c r="G97" s="6"/>
      <c r="H97" s="6"/>
      <c r="I97" s="6"/>
      <c r="J97" s="6"/>
      <c r="K97" s="6"/>
      <c r="L97" s="6"/>
      <c r="M97" s="6"/>
      <c r="N97" s="6"/>
      <c r="O97" s="6"/>
      <c r="P97" s="6"/>
      <c r="Q97" s="6"/>
      <c r="R97" s="6"/>
    </row>
    <row r="98" spans="1:18" x14ac:dyDescent="0.2">
      <c r="A98" s="6"/>
      <c r="B98" s="6"/>
      <c r="C98" s="6"/>
      <c r="D98" s="6"/>
      <c r="E98" s="6"/>
      <c r="F98" s="6"/>
      <c r="G98" s="6"/>
      <c r="H98" s="6"/>
      <c r="I98" s="6"/>
      <c r="J98" s="6"/>
      <c r="K98" s="6"/>
      <c r="L98" s="6"/>
      <c r="M98" s="6"/>
      <c r="N98" s="6"/>
      <c r="O98" s="6"/>
      <c r="P98" s="6"/>
      <c r="Q98" s="6"/>
      <c r="R98" s="6"/>
    </row>
    <row r="99" spans="1:18" x14ac:dyDescent="0.2">
      <c r="A99" s="6"/>
      <c r="B99" s="6"/>
      <c r="C99" s="6"/>
      <c r="D99" s="6"/>
      <c r="E99" s="6"/>
      <c r="F99" s="6"/>
      <c r="G99" s="6"/>
      <c r="H99" s="6"/>
      <c r="I99" s="6"/>
      <c r="J99" s="6"/>
      <c r="K99" s="6"/>
      <c r="L99" s="6"/>
      <c r="M99" s="6"/>
      <c r="N99" s="6"/>
      <c r="O99" s="6"/>
      <c r="P99" s="6"/>
      <c r="Q99" s="6"/>
      <c r="R99" s="6"/>
    </row>
    <row r="100" spans="1:18" x14ac:dyDescent="0.2">
      <c r="A100" s="6"/>
      <c r="B100" s="6"/>
      <c r="C100" s="6"/>
      <c r="D100" s="6"/>
      <c r="E100" s="6"/>
      <c r="F100" s="6"/>
      <c r="G100" s="6"/>
      <c r="H100" s="6"/>
      <c r="I100" s="6"/>
      <c r="J100" s="6"/>
      <c r="K100" s="6"/>
      <c r="L100" s="6"/>
      <c r="M100" s="6"/>
      <c r="N100" s="6"/>
      <c r="O100" s="6"/>
      <c r="P100" s="6"/>
      <c r="Q100" s="6"/>
      <c r="R100" s="6"/>
    </row>
    <row r="101" spans="1:18" x14ac:dyDescent="0.2">
      <c r="A101" s="6"/>
      <c r="B101" s="6"/>
      <c r="C101" s="6"/>
      <c r="D101" s="6"/>
      <c r="E101" s="6"/>
      <c r="F101" s="6"/>
      <c r="G101" s="6"/>
      <c r="H101" s="6"/>
      <c r="I101" s="6"/>
      <c r="J101" s="6"/>
      <c r="K101" s="6"/>
      <c r="L101" s="6"/>
      <c r="M101" s="6"/>
      <c r="N101" s="6"/>
      <c r="O101" s="6"/>
      <c r="P101" s="6"/>
      <c r="Q101" s="6"/>
      <c r="R101" s="6"/>
    </row>
    <row r="102" spans="1:18" x14ac:dyDescent="0.2">
      <c r="A102" s="6"/>
      <c r="B102" s="6"/>
      <c r="C102" s="6"/>
      <c r="D102" s="6"/>
      <c r="E102" s="6"/>
      <c r="F102" s="6"/>
      <c r="G102" s="6"/>
      <c r="H102" s="6"/>
      <c r="I102" s="6"/>
      <c r="J102" s="6"/>
      <c r="K102" s="6"/>
      <c r="L102" s="6"/>
      <c r="M102" s="6"/>
      <c r="N102" s="6"/>
      <c r="O102" s="6"/>
      <c r="P102" s="6"/>
      <c r="Q102" s="6"/>
      <c r="R102" s="6"/>
    </row>
    <row r="103" spans="1:18" x14ac:dyDescent="0.2">
      <c r="A103" s="6"/>
      <c r="B103" s="6"/>
      <c r="C103" s="6"/>
      <c r="D103" s="6"/>
      <c r="E103" s="6"/>
      <c r="F103" s="6"/>
      <c r="G103" s="6"/>
      <c r="H103" s="6"/>
      <c r="I103" s="6"/>
      <c r="J103" s="6"/>
      <c r="K103" s="6"/>
      <c r="L103" s="6"/>
      <c r="M103" s="6"/>
      <c r="N103" s="6"/>
      <c r="O103" s="6"/>
      <c r="P103" s="6"/>
      <c r="Q103" s="6"/>
      <c r="R103" s="6"/>
    </row>
    <row r="104" spans="1:18" x14ac:dyDescent="0.2">
      <c r="A104" s="6"/>
      <c r="B104" s="6"/>
      <c r="C104" s="6"/>
      <c r="D104" s="6"/>
      <c r="E104" s="6"/>
      <c r="F104" s="6"/>
      <c r="G104" s="6"/>
      <c r="H104" s="6"/>
      <c r="I104" s="6"/>
      <c r="J104" s="6"/>
      <c r="K104" s="6"/>
      <c r="L104" s="6"/>
      <c r="M104" s="6"/>
      <c r="N104" s="6"/>
      <c r="O104" s="6"/>
      <c r="P104" s="6"/>
      <c r="Q104" s="6"/>
      <c r="R104" s="6"/>
    </row>
    <row r="105" spans="1:18" x14ac:dyDescent="0.2">
      <c r="A105" s="6"/>
      <c r="B105" s="6"/>
      <c r="C105" s="6"/>
      <c r="D105" s="6"/>
      <c r="E105" s="6"/>
      <c r="F105" s="6"/>
      <c r="G105" s="6"/>
      <c r="H105" s="6"/>
      <c r="I105" s="6"/>
      <c r="J105" s="6"/>
      <c r="K105" s="6"/>
      <c r="L105" s="6"/>
      <c r="M105" s="6"/>
      <c r="N105" s="6"/>
      <c r="O105" s="6"/>
      <c r="P105" s="6"/>
      <c r="Q105" s="6"/>
      <c r="R105" s="6"/>
    </row>
    <row r="106" spans="1:18" x14ac:dyDescent="0.2">
      <c r="A106" s="6"/>
      <c r="B106" s="6"/>
      <c r="C106" s="6"/>
      <c r="D106" s="6"/>
      <c r="E106" s="6"/>
      <c r="F106" s="6"/>
      <c r="G106" s="6"/>
      <c r="H106" s="6"/>
      <c r="I106" s="6"/>
      <c r="J106" s="6"/>
      <c r="K106" s="6"/>
      <c r="L106" s="6"/>
      <c r="M106" s="6"/>
      <c r="N106" s="6"/>
      <c r="O106" s="6"/>
      <c r="P106" s="6"/>
      <c r="Q106" s="6"/>
      <c r="R106" s="6"/>
    </row>
    <row r="107" spans="1:18" x14ac:dyDescent="0.2">
      <c r="A107" s="6"/>
      <c r="B107" s="6"/>
      <c r="C107" s="6"/>
      <c r="D107" s="6"/>
      <c r="E107" s="6"/>
      <c r="F107" s="6"/>
      <c r="G107" s="6"/>
      <c r="H107" s="6"/>
      <c r="I107" s="6"/>
      <c r="J107" s="6"/>
      <c r="K107" s="6"/>
      <c r="L107" s="6"/>
      <c r="M107" s="6"/>
      <c r="N107" s="6"/>
      <c r="O107" s="6"/>
      <c r="P107" s="6"/>
      <c r="Q107" s="6"/>
      <c r="R107" s="6"/>
    </row>
    <row r="108" spans="1:18" x14ac:dyDescent="0.2">
      <c r="A108" s="6"/>
      <c r="B108" s="6"/>
      <c r="C108" s="6"/>
      <c r="D108" s="6"/>
      <c r="E108" s="6"/>
      <c r="F108" s="6"/>
      <c r="G108" s="6"/>
      <c r="H108" s="6"/>
      <c r="I108" s="6"/>
      <c r="J108" s="6"/>
      <c r="K108" s="6"/>
      <c r="L108" s="6"/>
      <c r="M108" s="6"/>
      <c r="N108" s="6"/>
      <c r="O108" s="6"/>
      <c r="P108" s="6"/>
      <c r="Q108" s="6"/>
      <c r="R108" s="6"/>
    </row>
    <row r="109" spans="1:18" x14ac:dyDescent="0.2">
      <c r="A109" s="6"/>
      <c r="B109" s="6"/>
      <c r="C109" s="6"/>
      <c r="D109" s="6"/>
      <c r="E109" s="6"/>
      <c r="F109" s="6"/>
      <c r="G109" s="6"/>
      <c r="H109" s="6"/>
      <c r="I109" s="6"/>
      <c r="J109" s="6"/>
      <c r="K109" s="6"/>
      <c r="L109" s="6"/>
      <c r="M109" s="6"/>
      <c r="N109" s="6"/>
      <c r="O109" s="6"/>
      <c r="P109" s="6"/>
      <c r="Q109" s="6"/>
      <c r="R109" s="6"/>
    </row>
    <row r="110" spans="1:18" x14ac:dyDescent="0.2">
      <c r="A110" s="6"/>
      <c r="B110" s="6"/>
      <c r="C110" s="6"/>
      <c r="D110" s="6"/>
      <c r="E110" s="6"/>
      <c r="F110" s="6"/>
      <c r="G110" s="6"/>
      <c r="H110" s="6"/>
      <c r="I110" s="6"/>
      <c r="J110" s="6"/>
      <c r="K110" s="6"/>
      <c r="L110" s="6"/>
      <c r="M110" s="6"/>
      <c r="N110" s="6"/>
      <c r="O110" s="6"/>
      <c r="P110" s="6"/>
      <c r="Q110" s="6"/>
      <c r="R110" s="6"/>
    </row>
    <row r="111" spans="1:18" x14ac:dyDescent="0.2">
      <c r="A111" s="6"/>
      <c r="B111" s="6"/>
      <c r="C111" s="6"/>
      <c r="D111" s="6"/>
      <c r="E111" s="6"/>
      <c r="F111" s="6"/>
      <c r="G111" s="6"/>
      <c r="H111" s="6"/>
      <c r="I111" s="6"/>
      <c r="J111" s="6"/>
      <c r="K111" s="6"/>
      <c r="L111" s="6"/>
      <c r="M111" s="6"/>
      <c r="N111" s="6"/>
      <c r="O111" s="6"/>
      <c r="P111" s="6"/>
      <c r="Q111" s="6"/>
      <c r="R111" s="6"/>
    </row>
    <row r="112" spans="1:18" x14ac:dyDescent="0.2">
      <c r="A112" s="6"/>
      <c r="B112" s="6"/>
      <c r="C112" s="6"/>
      <c r="D112" s="6"/>
      <c r="E112" s="6"/>
      <c r="F112" s="6"/>
      <c r="G112" s="6"/>
      <c r="H112" s="6"/>
      <c r="I112" s="6"/>
      <c r="J112" s="6"/>
      <c r="K112" s="6"/>
      <c r="L112" s="6"/>
      <c r="M112" s="6"/>
      <c r="N112" s="6"/>
      <c r="O112" s="6"/>
      <c r="P112" s="6"/>
      <c r="Q112" s="6"/>
      <c r="R112" s="6"/>
    </row>
    <row r="113" spans="1:18" x14ac:dyDescent="0.2">
      <c r="A113" s="6"/>
      <c r="B113" s="6"/>
      <c r="C113" s="6"/>
      <c r="D113" s="6"/>
      <c r="E113" s="6"/>
      <c r="F113" s="6"/>
      <c r="G113" s="6"/>
      <c r="H113" s="6"/>
      <c r="I113" s="6"/>
      <c r="J113" s="6"/>
      <c r="K113" s="6"/>
      <c r="L113" s="6"/>
      <c r="M113" s="6"/>
      <c r="N113" s="6"/>
      <c r="O113" s="6"/>
      <c r="P113" s="6"/>
      <c r="Q113" s="6"/>
      <c r="R113" s="6"/>
    </row>
    <row r="114" spans="1:18" x14ac:dyDescent="0.2">
      <c r="A114" s="6"/>
      <c r="B114" s="6"/>
      <c r="C114" s="6"/>
      <c r="D114" s="6"/>
      <c r="E114" s="6"/>
      <c r="F114" s="6"/>
      <c r="G114" s="6"/>
      <c r="H114" s="6"/>
      <c r="I114" s="6"/>
      <c r="J114" s="6"/>
      <c r="K114" s="6"/>
      <c r="L114" s="6"/>
      <c r="M114" s="6"/>
      <c r="N114" s="6"/>
      <c r="O114" s="6"/>
      <c r="P114" s="6"/>
      <c r="Q114" s="6"/>
      <c r="R114" s="6"/>
    </row>
    <row r="115" spans="1:18" x14ac:dyDescent="0.2">
      <c r="A115" s="6"/>
      <c r="B115" s="6"/>
      <c r="C115" s="6"/>
      <c r="D115" s="6"/>
      <c r="E115" s="6"/>
      <c r="F115" s="6"/>
      <c r="G115" s="6"/>
      <c r="H115" s="6"/>
      <c r="I115" s="6"/>
      <c r="J115" s="6"/>
      <c r="K115" s="6"/>
      <c r="L115" s="6"/>
      <c r="M115" s="6"/>
      <c r="N115" s="6"/>
      <c r="O115" s="6"/>
      <c r="P115" s="6"/>
      <c r="Q115" s="6"/>
      <c r="R115" s="6"/>
    </row>
    <row r="116" spans="1:18" x14ac:dyDescent="0.2">
      <c r="A116" s="6"/>
      <c r="B116" s="6"/>
      <c r="C116" s="6"/>
      <c r="D116" s="6"/>
      <c r="E116" s="6"/>
      <c r="F116" s="6"/>
      <c r="G116" s="6"/>
      <c r="H116" s="6"/>
      <c r="I116" s="6"/>
      <c r="J116" s="6"/>
      <c r="K116" s="6"/>
      <c r="L116" s="6"/>
      <c r="M116" s="6"/>
      <c r="N116" s="6"/>
      <c r="O116" s="6"/>
      <c r="P116" s="6"/>
      <c r="Q116" s="6"/>
      <c r="R116" s="6"/>
    </row>
    <row r="117" spans="1:18" x14ac:dyDescent="0.2">
      <c r="A117" s="6"/>
      <c r="B117" s="6"/>
      <c r="C117" s="6"/>
      <c r="D117" s="6"/>
      <c r="E117" s="6"/>
      <c r="F117" s="6"/>
      <c r="G117" s="6"/>
      <c r="H117" s="6"/>
      <c r="I117" s="6"/>
      <c r="J117" s="6"/>
      <c r="K117" s="6"/>
      <c r="L117" s="6"/>
      <c r="M117" s="6"/>
      <c r="N117" s="6"/>
      <c r="O117" s="6"/>
      <c r="P117" s="6"/>
      <c r="Q117" s="6"/>
      <c r="R117" s="6"/>
    </row>
    <row r="118" spans="1:18" x14ac:dyDescent="0.2">
      <c r="A118" s="6"/>
      <c r="B118" s="6"/>
      <c r="C118" s="6"/>
      <c r="D118" s="6"/>
      <c r="E118" s="6"/>
      <c r="F118" s="6"/>
      <c r="G118" s="6"/>
      <c r="H118" s="6"/>
      <c r="I118" s="6"/>
      <c r="J118" s="6"/>
      <c r="K118" s="6"/>
      <c r="L118" s="6"/>
      <c r="M118" s="6"/>
      <c r="N118" s="6"/>
      <c r="O118" s="6"/>
      <c r="P118" s="6"/>
      <c r="Q118" s="6"/>
      <c r="R118" s="6"/>
    </row>
    <row r="119" spans="1:18" x14ac:dyDescent="0.2">
      <c r="A119" s="6"/>
      <c r="B119" s="6"/>
      <c r="C119" s="6"/>
      <c r="D119" s="6"/>
      <c r="E119" s="6"/>
      <c r="F119" s="6"/>
      <c r="G119" s="6"/>
      <c r="H119" s="6"/>
      <c r="I119" s="6"/>
      <c r="J119" s="6"/>
      <c r="K119" s="6"/>
      <c r="L119" s="6"/>
      <c r="M119" s="6"/>
      <c r="N119" s="6"/>
      <c r="O119" s="6"/>
      <c r="P119" s="6"/>
      <c r="Q119" s="6"/>
      <c r="R119" s="6"/>
    </row>
  </sheetData>
  <sheetProtection password="C2E9" sheet="1" selectLockedCells="1"/>
  <customSheetViews>
    <customSheetView guid="{3DA56FC4-53DE-48E1-9C8B-99A7C6BEC59A}" showRuler="0">
      <selection activeCell="D10" sqref="D10"/>
      <pageMargins left="0.78740157480314965" right="0.39370078740157483" top="0.98425196850393704" bottom="0.98425196850393704" header="0" footer="0"/>
      <pageSetup paperSize="5" scale="90" orientation="portrait" horizontalDpi="300" verticalDpi="0" r:id="rId1"/>
      <headerFooter alignWithMargins="0"/>
    </customSheetView>
    <customSheetView guid="{3055A696-E36D-42C0-8DEA-BCF75BC71F7B}" topLeftCell="A49">
      <selection activeCell="A73" sqref="A73"/>
      <pageMargins left="0.78740157480314965" right="0.39370078740157483" top="0.82" bottom="0.84" header="0" footer="0"/>
      <pageSetup paperSize="5" scale="90" orientation="portrait" horizontalDpi="300" verticalDpi="1200" r:id="rId2"/>
      <headerFooter alignWithMargins="0"/>
    </customSheetView>
  </customSheetViews>
  <mergeCells count="21">
    <mergeCell ref="A10:B10"/>
    <mergeCell ref="A9:B9"/>
    <mergeCell ref="D9:E9"/>
    <mergeCell ref="B33:C33"/>
    <mergeCell ref="G78:H78"/>
    <mergeCell ref="G76:H76"/>
    <mergeCell ref="E78:F78"/>
    <mergeCell ref="F68:G68"/>
    <mergeCell ref="A67:C67"/>
    <mergeCell ref="B40:C40"/>
    <mergeCell ref="G77:H77"/>
    <mergeCell ref="E75:F75"/>
    <mergeCell ref="F64:G64"/>
    <mergeCell ref="E71:F71"/>
    <mergeCell ref="D1:E1"/>
    <mergeCell ref="C63:D63"/>
    <mergeCell ref="G75:H75"/>
    <mergeCell ref="C3:I3"/>
    <mergeCell ref="C19:D19"/>
    <mergeCell ref="C29:D29"/>
    <mergeCell ref="H13:I13"/>
  </mergeCells>
  <phoneticPr fontId="20" type="noConversion"/>
  <dataValidations disablePrompts="1" count="1">
    <dataValidation showInputMessage="1" showErrorMessage="1" sqref="C72" xr:uid="{00000000-0002-0000-0200-000000000000}"/>
  </dataValidations>
  <pageMargins left="0.78740157480314965" right="0.39370078740157483" top="0.82" bottom="0.84" header="0" footer="0"/>
  <pageSetup paperSize="5" scale="90" orientation="portrait" horizontalDpi="300"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indexed="43"/>
  </sheetPr>
  <dimension ref="A1:AJ95"/>
  <sheetViews>
    <sheetView topLeftCell="A25" workbookViewId="0">
      <selection activeCell="K54" sqref="K54"/>
    </sheetView>
  </sheetViews>
  <sheetFormatPr baseColWidth="10" defaultRowHeight="12.75" x14ac:dyDescent="0.2"/>
  <cols>
    <col min="1" max="1" width="3" style="22" customWidth="1"/>
    <col min="2" max="2" width="3" customWidth="1"/>
    <col min="3" max="3" width="4.42578125" customWidth="1"/>
    <col min="4" max="4" width="2.42578125" customWidth="1"/>
    <col min="5" max="5" width="3.42578125" customWidth="1"/>
    <col min="6" max="6" width="2.140625" customWidth="1"/>
    <col min="7" max="7" width="3.140625" customWidth="1"/>
    <col min="8" max="8" width="3" customWidth="1"/>
    <col min="9" max="9" width="3.28515625" customWidth="1"/>
    <col min="10" max="10" width="4.42578125" customWidth="1"/>
    <col min="11" max="11" width="2.140625" customWidth="1"/>
    <col min="12" max="12" width="3.140625" customWidth="1"/>
    <col min="13" max="13" width="2.7109375" customWidth="1"/>
    <col min="14" max="14" width="2.85546875" customWidth="1"/>
    <col min="15" max="15" width="3.28515625" customWidth="1"/>
    <col min="16" max="16" width="2.7109375" customWidth="1"/>
    <col min="17" max="18" width="2.85546875" customWidth="1"/>
    <col min="19" max="19" width="2.5703125" customWidth="1"/>
    <col min="20" max="20" width="3" customWidth="1"/>
    <col min="21" max="21" width="2.85546875" customWidth="1"/>
    <col min="22" max="22" width="3.28515625" customWidth="1"/>
    <col min="23" max="23" width="3" customWidth="1"/>
    <col min="24" max="24" width="2.85546875" customWidth="1"/>
    <col min="25" max="25" width="3.140625" customWidth="1"/>
    <col min="26" max="26" width="4.42578125" customWidth="1"/>
    <col min="27" max="27" width="4" customWidth="1"/>
    <col min="28" max="28" width="4.140625" customWidth="1"/>
    <col min="29" max="29" width="3.42578125" customWidth="1"/>
  </cols>
  <sheetData>
    <row r="1" spans="1:36" ht="14.25" x14ac:dyDescent="0.2">
      <c r="A1" s="621"/>
      <c r="B1" s="622"/>
      <c r="C1" s="622"/>
      <c r="D1" s="622"/>
      <c r="E1" s="622"/>
      <c r="F1" s="622"/>
      <c r="G1" s="622"/>
      <c r="H1" s="1259"/>
      <c r="I1" s="1259"/>
      <c r="J1" s="1259"/>
      <c r="K1" s="1259"/>
      <c r="L1" s="1259"/>
      <c r="M1" s="1259"/>
      <c r="N1" s="1259"/>
      <c r="O1" s="1259"/>
      <c r="P1" s="1259"/>
      <c r="Q1" s="1259"/>
      <c r="R1" s="1259"/>
      <c r="S1" s="1259"/>
      <c r="T1" s="1259"/>
      <c r="U1" s="1259"/>
      <c r="V1" s="508"/>
      <c r="W1" s="508"/>
      <c r="X1" s="508"/>
      <c r="Y1" s="508"/>
      <c r="Z1" s="508"/>
      <c r="AA1" s="508"/>
      <c r="AB1" s="508"/>
      <c r="AC1" s="508"/>
      <c r="AD1" s="508"/>
      <c r="AE1" s="6"/>
      <c r="AF1" s="6"/>
      <c r="AG1" s="6"/>
      <c r="AH1" s="6"/>
      <c r="AI1" s="6"/>
      <c r="AJ1" s="6"/>
    </row>
    <row r="2" spans="1:36" ht="14.25" x14ac:dyDescent="0.2">
      <c r="A2" s="623"/>
      <c r="B2" s="508"/>
      <c r="C2" s="508"/>
      <c r="D2" s="508"/>
      <c r="E2" s="508"/>
      <c r="F2" s="508"/>
      <c r="G2" s="508"/>
      <c r="H2" s="1259"/>
      <c r="I2" s="1259"/>
      <c r="J2" s="1259"/>
      <c r="K2" s="1259"/>
      <c r="L2" s="1259"/>
      <c r="M2" s="1259"/>
      <c r="N2" s="1259"/>
      <c r="O2" s="1259"/>
      <c r="P2" s="1259"/>
      <c r="Q2" s="1259"/>
      <c r="R2" s="1259"/>
      <c r="S2" s="1259"/>
      <c r="T2" s="1259"/>
      <c r="U2" s="1259"/>
      <c r="V2" s="508"/>
      <c r="W2" s="508"/>
      <c r="X2" s="508"/>
      <c r="Y2" s="508"/>
      <c r="Z2" s="508"/>
      <c r="AA2" s="508"/>
      <c r="AB2" s="508"/>
      <c r="AC2" s="508"/>
      <c r="AD2" s="508"/>
      <c r="AE2" s="6"/>
      <c r="AF2" s="6"/>
      <c r="AG2" s="6"/>
      <c r="AH2" s="6"/>
      <c r="AI2" s="6"/>
      <c r="AJ2" s="6"/>
    </row>
    <row r="3" spans="1:36" x14ac:dyDescent="0.2">
      <c r="A3" s="623"/>
      <c r="B3" s="508"/>
      <c r="C3" s="508"/>
      <c r="D3" s="508"/>
      <c r="E3" s="508"/>
      <c r="F3" s="508"/>
      <c r="G3" s="508"/>
      <c r="H3" s="1260"/>
      <c r="I3" s="1260"/>
      <c r="J3" s="1260"/>
      <c r="K3" s="1260"/>
      <c r="L3" s="1260"/>
      <c r="M3" s="1260"/>
      <c r="N3" s="1260"/>
      <c r="O3" s="1260"/>
      <c r="P3" s="1260"/>
      <c r="Q3" s="1260"/>
      <c r="R3" s="1260"/>
      <c r="S3" s="1260"/>
      <c r="T3" s="1260"/>
      <c r="U3" s="1260"/>
      <c r="V3" s="508"/>
      <c r="W3" s="508"/>
      <c r="X3" s="508"/>
      <c r="Y3" s="508"/>
      <c r="Z3" s="508"/>
      <c r="AA3" s="508"/>
      <c r="AB3" s="508"/>
      <c r="AC3" s="508"/>
      <c r="AD3" s="508"/>
      <c r="AE3" s="6"/>
      <c r="AF3" s="6"/>
      <c r="AG3" s="6"/>
      <c r="AH3" s="6"/>
      <c r="AI3" s="6"/>
      <c r="AJ3" s="6"/>
    </row>
    <row r="4" spans="1:36" x14ac:dyDescent="0.2">
      <c r="A4" s="621"/>
      <c r="B4" s="624"/>
      <c r="C4" s="508"/>
      <c r="D4" s="622"/>
      <c r="E4" s="508"/>
      <c r="F4" s="625"/>
      <c r="G4" s="508"/>
      <c r="H4" s="508"/>
      <c r="I4" s="508"/>
      <c r="J4" s="508"/>
      <c r="K4" s="508"/>
      <c r="L4" s="1242"/>
      <c r="M4" s="1242"/>
      <c r="N4" s="1261"/>
      <c r="O4" s="1242"/>
      <c r="P4" s="1242"/>
      <c r="Q4" s="1242"/>
      <c r="R4" s="508"/>
      <c r="S4" s="508"/>
      <c r="T4" s="508"/>
      <c r="U4" s="508"/>
      <c r="V4" s="508"/>
      <c r="W4" s="508"/>
      <c r="X4" s="508"/>
      <c r="Y4" s="508"/>
      <c r="Z4" s="508"/>
      <c r="AA4" s="508"/>
      <c r="AB4" s="508"/>
      <c r="AC4" s="508"/>
      <c r="AD4" s="508"/>
      <c r="AE4" s="6"/>
      <c r="AF4" s="6"/>
      <c r="AG4" s="6"/>
      <c r="AH4" s="6"/>
      <c r="AI4" s="6"/>
      <c r="AJ4" s="6"/>
    </row>
    <row r="5" spans="1:36" x14ac:dyDescent="0.2">
      <c r="A5" s="623"/>
      <c r="B5" s="508"/>
      <c r="C5" s="508"/>
      <c r="D5" s="508"/>
      <c r="E5" s="508"/>
      <c r="F5" s="508"/>
      <c r="G5" s="508"/>
      <c r="H5" s="508"/>
      <c r="I5" s="508"/>
      <c r="J5" s="1263"/>
      <c r="K5" s="1263"/>
      <c r="L5" s="1263"/>
      <c r="M5" s="1263"/>
      <c r="N5" s="1263"/>
      <c r="O5" s="1263"/>
      <c r="P5" s="1263"/>
      <c r="Q5" s="1263"/>
      <c r="R5" s="1263"/>
      <c r="S5" s="1263"/>
      <c r="T5" s="508"/>
      <c r="U5" s="508"/>
      <c r="V5" s="508"/>
      <c r="W5" s="508"/>
      <c r="X5" s="508"/>
      <c r="Y5" s="508"/>
      <c r="Z5" s="508"/>
      <c r="AA5" s="508"/>
      <c r="AB5" s="508"/>
      <c r="AC5" s="508"/>
      <c r="AD5" s="508"/>
      <c r="AE5" s="6"/>
      <c r="AF5" s="6"/>
      <c r="AG5" s="6"/>
      <c r="AH5" s="6"/>
      <c r="AI5" s="6"/>
      <c r="AJ5" s="6"/>
    </row>
    <row r="6" spans="1:36" x14ac:dyDescent="0.2">
      <c r="A6" s="626" t="s">
        <v>141</v>
      </c>
      <c r="B6" s="627"/>
      <c r="C6" s="627"/>
      <c r="D6" s="627"/>
      <c r="E6" s="1257">
        <f>Datos!K37</f>
        <v>0</v>
      </c>
      <c r="F6" s="1257"/>
      <c r="G6" s="1257"/>
      <c r="H6" s="1257"/>
      <c r="I6" s="1257"/>
      <c r="J6" s="1257"/>
      <c r="K6" s="627" t="s">
        <v>142</v>
      </c>
      <c r="L6" s="627"/>
      <c r="M6" s="1246">
        <f>Datos!K38</f>
        <v>0</v>
      </c>
      <c r="N6" s="1246"/>
      <c r="O6" s="1246"/>
      <c r="P6" s="1246"/>
      <c r="Q6" s="1246"/>
      <c r="R6" s="1262">
        <f>Datos!K39</f>
        <v>0</v>
      </c>
      <c r="S6" s="1262"/>
      <c r="T6" s="233"/>
      <c r="U6" s="627" t="s">
        <v>143</v>
      </c>
      <c r="V6" s="627"/>
      <c r="W6" s="627"/>
      <c r="X6" s="1257">
        <f>Datos!K40</f>
        <v>0</v>
      </c>
      <c r="Y6" s="1257"/>
      <c r="Z6" s="1257"/>
      <c r="AA6" s="627"/>
      <c r="AB6" s="629" t="s">
        <v>144</v>
      </c>
      <c r="AC6" s="508"/>
      <c r="AD6" s="508"/>
      <c r="AE6" s="6"/>
      <c r="AF6" s="6"/>
      <c r="AG6" s="6"/>
      <c r="AH6" s="6"/>
      <c r="AI6" s="6"/>
      <c r="AJ6" s="6"/>
    </row>
    <row r="7" spans="1:36" x14ac:dyDescent="0.2">
      <c r="A7" s="1245">
        <f>Datos!K41</f>
        <v>0</v>
      </c>
      <c r="B7" s="1245"/>
      <c r="C7" s="1245"/>
      <c r="D7" s="1245"/>
      <c r="E7" s="1245"/>
      <c r="F7" s="627"/>
      <c r="G7" s="1262">
        <f>Datos!K42</f>
        <v>0</v>
      </c>
      <c r="H7" s="1262"/>
      <c r="I7" s="627" t="s">
        <v>162</v>
      </c>
      <c r="J7" s="627"/>
      <c r="K7" s="627"/>
      <c r="L7" s="627"/>
      <c r="M7" s="1256">
        <f>Datos!K29</f>
        <v>0</v>
      </c>
      <c r="N7" s="1256"/>
      <c r="O7" s="1256"/>
      <c r="P7" s="1256"/>
      <c r="Q7" s="1256"/>
      <c r="R7" s="1256"/>
      <c r="S7" s="1256"/>
      <c r="T7" s="1256"/>
      <c r="U7" s="1256"/>
      <c r="V7" s="1256"/>
      <c r="W7" s="1256"/>
      <c r="X7" s="1256"/>
      <c r="Y7" s="1256"/>
      <c r="Z7" s="627"/>
      <c r="AA7" s="632" t="s">
        <v>180</v>
      </c>
      <c r="AB7" s="633" t="s">
        <v>35</v>
      </c>
      <c r="AC7" s="508"/>
      <c r="AD7" s="508"/>
      <c r="AE7" s="6"/>
      <c r="AF7" s="6"/>
      <c r="AG7" s="6"/>
      <c r="AH7" s="6"/>
      <c r="AI7" s="6"/>
      <c r="AJ7" s="6"/>
    </row>
    <row r="8" spans="1:36" x14ac:dyDescent="0.2">
      <c r="A8" s="1245">
        <f>Datos!K30</f>
        <v>0</v>
      </c>
      <c r="B8" s="1245"/>
      <c r="C8" s="1245"/>
      <c r="D8" s="627" t="s">
        <v>147</v>
      </c>
      <c r="E8" s="627"/>
      <c r="F8" s="627"/>
      <c r="G8" s="629"/>
      <c r="H8" s="627"/>
      <c r="I8" s="627"/>
      <c r="J8" s="627"/>
      <c r="K8" s="1246">
        <f>Datos!K32</f>
        <v>0</v>
      </c>
      <c r="L8" s="1246"/>
      <c r="M8" s="1246"/>
      <c r="N8" s="1246"/>
      <c r="O8" s="1246"/>
      <c r="P8" s="1246"/>
      <c r="Q8" s="1246"/>
      <c r="R8" s="1246"/>
      <c r="S8" s="1246"/>
      <c r="T8" s="1246"/>
      <c r="U8" s="634" t="s">
        <v>35</v>
      </c>
      <c r="V8" s="1246">
        <f>Datos!K33</f>
        <v>0</v>
      </c>
      <c r="W8" s="1246"/>
      <c r="X8" s="1246"/>
      <c r="Y8" s="627"/>
      <c r="Z8" s="627"/>
      <c r="AA8" s="627"/>
      <c r="AB8" s="629" t="s">
        <v>145</v>
      </c>
      <c r="AC8" s="508"/>
      <c r="AD8" s="508"/>
      <c r="AE8" s="6"/>
      <c r="AF8" s="6"/>
      <c r="AG8" s="6"/>
      <c r="AH8" s="6"/>
      <c r="AI8" s="6"/>
      <c r="AJ8" s="6"/>
    </row>
    <row r="9" spans="1:36" x14ac:dyDescent="0.2">
      <c r="A9" s="1257">
        <f>Datos!K34</f>
        <v>0</v>
      </c>
      <c r="B9" s="1257"/>
      <c r="C9" s="1257"/>
      <c r="D9" s="1257"/>
      <c r="E9" s="1257"/>
      <c r="F9" s="1257"/>
      <c r="G9" s="1257"/>
      <c r="H9" s="627" t="s">
        <v>148</v>
      </c>
      <c r="I9" s="627"/>
      <c r="J9" s="627"/>
      <c r="K9" s="1245">
        <f>Datos!K35</f>
        <v>0</v>
      </c>
      <c r="L9" s="1245"/>
      <c r="M9" s="1245"/>
      <c r="N9" s="1245"/>
      <c r="O9" s="1245"/>
      <c r="P9" s="1245"/>
      <c r="Q9" s="1245"/>
      <c r="R9" s="627"/>
      <c r="S9" s="627"/>
      <c r="T9" s="627"/>
      <c r="U9" s="627"/>
      <c r="V9" s="627"/>
      <c r="W9" s="627"/>
      <c r="X9" s="627"/>
      <c r="Y9" s="627"/>
      <c r="Z9" s="627"/>
      <c r="AA9" s="627"/>
      <c r="AB9" s="629" t="s">
        <v>149</v>
      </c>
      <c r="AC9" s="508"/>
      <c r="AD9" s="508"/>
      <c r="AE9" s="6"/>
      <c r="AF9" s="6"/>
      <c r="AG9" s="6"/>
      <c r="AH9" s="6"/>
      <c r="AI9" s="6"/>
      <c r="AJ9" s="6"/>
    </row>
    <row r="10" spans="1:36" x14ac:dyDescent="0.2">
      <c r="A10" s="1255">
        <f>Datos!K18</f>
        <v>0</v>
      </c>
      <c r="B10" s="1255"/>
      <c r="C10" s="1255"/>
      <c r="D10" s="1255"/>
      <c r="E10" s="1255"/>
      <c r="F10" s="1255"/>
      <c r="G10" s="1255"/>
      <c r="H10" s="1255"/>
      <c r="I10" s="1255"/>
      <c r="J10" s="1253" t="s">
        <v>631</v>
      </c>
      <c r="K10" s="1253"/>
      <c r="L10" s="1247">
        <f>Datos!K19</f>
        <v>0</v>
      </c>
      <c r="M10" s="1247"/>
      <c r="N10" s="1247"/>
      <c r="O10" s="1247"/>
      <c r="P10" s="1254" t="s">
        <v>147</v>
      </c>
      <c r="Q10" s="1254"/>
      <c r="R10" s="1254"/>
      <c r="S10" s="1254"/>
      <c r="T10" s="1254"/>
      <c r="U10" s="1254"/>
      <c r="V10" s="1254"/>
      <c r="W10" s="1254"/>
      <c r="X10" s="1247">
        <f>Datos!K20</f>
        <v>0</v>
      </c>
      <c r="Y10" s="1247"/>
      <c r="Z10" s="1247"/>
      <c r="AA10" s="1247"/>
      <c r="AB10" s="1247"/>
      <c r="AC10" s="508"/>
      <c r="AD10" s="508"/>
      <c r="AE10" s="6"/>
      <c r="AF10" s="6"/>
      <c r="AG10" s="6"/>
      <c r="AH10" s="6"/>
      <c r="AI10" s="6"/>
      <c r="AJ10" s="6"/>
    </row>
    <row r="11" spans="1:36" x14ac:dyDescent="0.2">
      <c r="A11" s="628">
        <f>Datos!K21</f>
        <v>0</v>
      </c>
      <c r="B11" s="637"/>
      <c r="C11" s="627" t="s">
        <v>145</v>
      </c>
      <c r="D11" s="627"/>
      <c r="E11" s="627"/>
      <c r="F11" s="627"/>
      <c r="G11" s="627"/>
      <c r="H11" s="1246">
        <f>Datos!K22</f>
        <v>0</v>
      </c>
      <c r="I11" s="1246"/>
      <c r="J11" s="1246"/>
      <c r="K11" s="1246"/>
      <c r="L11" s="1246"/>
      <c r="M11" s="1246"/>
      <c r="N11" s="627" t="s">
        <v>148</v>
      </c>
      <c r="O11" s="627"/>
      <c r="P11" s="627"/>
      <c r="Q11" s="1246">
        <f>Datos!K23</f>
        <v>0</v>
      </c>
      <c r="R11" s="1246"/>
      <c r="S11" s="1246"/>
      <c r="T11" s="1246"/>
      <c r="U11" s="1246"/>
      <c r="V11" s="1246"/>
      <c r="W11" s="627"/>
      <c r="X11" s="627"/>
      <c r="Y11" s="627"/>
      <c r="Z11" s="627"/>
      <c r="AA11" s="627"/>
      <c r="AB11" s="629" t="s">
        <v>150</v>
      </c>
      <c r="AC11" s="508"/>
      <c r="AD11" s="508"/>
      <c r="AE11" s="6"/>
      <c r="AF11" s="6"/>
      <c r="AG11" s="6"/>
      <c r="AH11" s="6"/>
      <c r="AI11" s="6"/>
      <c r="AJ11" s="6"/>
    </row>
    <row r="12" spans="1:36" x14ac:dyDescent="0.2">
      <c r="A12" s="1246">
        <f>Datos!K24</f>
        <v>0</v>
      </c>
      <c r="B12" s="1246"/>
      <c r="C12" s="1246"/>
      <c r="D12" s="1246"/>
      <c r="E12" s="1246"/>
      <c r="F12" s="1246"/>
      <c r="G12" s="1246"/>
      <c r="H12" s="627" t="s">
        <v>347</v>
      </c>
      <c r="I12" s="627"/>
      <c r="J12" s="627"/>
      <c r="K12" s="627"/>
      <c r="L12" s="627"/>
      <c r="M12" s="627"/>
      <c r="N12" s="627"/>
      <c r="O12" s="627"/>
      <c r="P12" s="627"/>
      <c r="Q12" s="627"/>
      <c r="R12" s="627"/>
      <c r="S12" s="627"/>
      <c r="T12" s="627"/>
      <c r="U12" s="627"/>
      <c r="V12" s="233"/>
      <c r="W12" s="233"/>
      <c r="X12" s="508"/>
      <c r="Y12" s="233"/>
      <c r="Z12" s="1246">
        <f>Datos!K26</f>
        <v>0</v>
      </c>
      <c r="AA12" s="1246"/>
      <c r="AB12" s="233"/>
      <c r="AC12" s="508"/>
      <c r="AD12" s="508"/>
      <c r="AE12" s="6"/>
      <c r="AF12" s="6"/>
      <c r="AG12" s="6"/>
      <c r="AH12" s="6"/>
      <c r="AI12" s="6"/>
      <c r="AJ12" s="6"/>
    </row>
    <row r="13" spans="1:36" x14ac:dyDescent="0.2">
      <c r="A13" s="626" t="s">
        <v>430</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508"/>
      <c r="AD13" s="508"/>
      <c r="AE13" s="6"/>
      <c r="AF13" s="6"/>
      <c r="AG13" s="6"/>
      <c r="AH13" s="6"/>
      <c r="AI13" s="6"/>
      <c r="AJ13" s="6"/>
    </row>
    <row r="14" spans="1:36" x14ac:dyDescent="0.2">
      <c r="A14" s="626"/>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508"/>
      <c r="AD14" s="508"/>
      <c r="AE14" s="6"/>
      <c r="AF14" s="6"/>
      <c r="AG14" s="6"/>
      <c r="AH14" s="6"/>
      <c r="AI14" s="6"/>
      <c r="AJ14" s="6"/>
    </row>
    <row r="15" spans="1:36" x14ac:dyDescent="0.2">
      <c r="A15" s="626"/>
      <c r="B15" s="638" t="s">
        <v>175</v>
      </c>
      <c r="C15" s="627"/>
      <c r="D15" s="627"/>
      <c r="E15" s="627"/>
      <c r="F15" s="627"/>
      <c r="G15" s="627"/>
      <c r="H15" s="627"/>
      <c r="I15" s="627"/>
      <c r="J15" s="627"/>
      <c r="K15" s="627"/>
      <c r="L15" s="627"/>
      <c r="M15" s="627"/>
      <c r="N15" s="627"/>
      <c r="O15" s="1250">
        <f>Datos!K55</f>
        <v>0</v>
      </c>
      <c r="P15" s="1250"/>
      <c r="Q15" s="1250"/>
      <c r="R15" s="1250"/>
      <c r="S15" s="1250"/>
      <c r="T15" s="1250"/>
      <c r="U15" s="1250"/>
      <c r="V15" s="1250"/>
      <c r="W15" s="1250"/>
      <c r="X15" s="1250"/>
      <c r="Y15" s="1250"/>
      <c r="Z15" s="1250"/>
      <c r="AA15" s="1250"/>
      <c r="AB15" s="1250"/>
      <c r="AC15" s="508"/>
      <c r="AD15" s="508"/>
      <c r="AE15" s="6"/>
      <c r="AF15" s="6"/>
      <c r="AG15" s="6"/>
      <c r="AH15" s="6"/>
      <c r="AI15" s="6"/>
      <c r="AJ15" s="6"/>
    </row>
    <row r="16" spans="1:36" x14ac:dyDescent="0.2">
      <c r="A16" s="626" t="s">
        <v>153</v>
      </c>
      <c r="B16" s="639"/>
      <c r="C16" s="627"/>
      <c r="D16" s="627"/>
      <c r="E16" s="627"/>
      <c r="F16" s="627"/>
      <c r="G16" s="233"/>
      <c r="H16" s="1245">
        <f>Datos!K45</f>
        <v>0</v>
      </c>
      <c r="I16" s="1245"/>
      <c r="J16" s="1245"/>
      <c r="K16" s="1245"/>
      <c r="L16" s="1245"/>
      <c r="M16" s="627" t="s">
        <v>35</v>
      </c>
      <c r="N16" s="1248">
        <f>Datos!K46</f>
        <v>0</v>
      </c>
      <c r="O16" s="1249"/>
      <c r="P16" s="1254" t="s">
        <v>154</v>
      </c>
      <c r="Q16" s="1254"/>
      <c r="R16" s="1254"/>
      <c r="S16" s="1254"/>
      <c r="T16" s="1254"/>
      <c r="U16" s="1246">
        <f>Datos!K47</f>
        <v>0</v>
      </c>
      <c r="V16" s="1246"/>
      <c r="W16" s="1246"/>
      <c r="X16" s="1246"/>
      <c r="Y16" s="1246"/>
      <c r="Z16" s="1246"/>
      <c r="AA16" s="626" t="s">
        <v>155</v>
      </c>
      <c r="AB16" s="626"/>
      <c r="AC16" s="508"/>
      <c r="AD16" s="508"/>
      <c r="AE16" s="6"/>
      <c r="AF16" s="6"/>
      <c r="AG16" s="6"/>
      <c r="AH16" s="6"/>
      <c r="AI16" s="6"/>
      <c r="AJ16" s="6"/>
    </row>
    <row r="17" spans="1:36" x14ac:dyDescent="0.2">
      <c r="A17" s="630">
        <f>Datos!K48</f>
        <v>0</v>
      </c>
      <c r="B17" s="627"/>
      <c r="C17" s="627"/>
      <c r="D17" s="233"/>
      <c r="E17" s="627" t="s">
        <v>156</v>
      </c>
      <c r="F17" s="626"/>
      <c r="G17" s="631">
        <f>Datos!K49</f>
        <v>0</v>
      </c>
      <c r="H17" s="626"/>
      <c r="I17" s="627" t="s">
        <v>157</v>
      </c>
      <c r="J17" s="233"/>
      <c r="K17" s="631">
        <f>Datos!K50</f>
        <v>0</v>
      </c>
      <c r="L17" s="233"/>
      <c r="M17" s="627" t="s">
        <v>158</v>
      </c>
      <c r="N17" s="233"/>
      <c r="O17" s="635">
        <f>Datos!K51</f>
        <v>0</v>
      </c>
      <c r="P17" s="233"/>
      <c r="Q17" s="627" t="s">
        <v>159</v>
      </c>
      <c r="R17" s="233"/>
      <c r="S17" s="640">
        <f>Datos!K52</f>
        <v>0</v>
      </c>
      <c r="T17" s="233"/>
      <c r="U17" s="626" t="s">
        <v>42</v>
      </c>
      <c r="V17" s="233"/>
      <c r="W17" s="641">
        <f>Datos!K53</f>
        <v>0</v>
      </c>
      <c r="X17" s="642"/>
      <c r="Y17" s="508"/>
      <c r="Z17" s="508"/>
      <c r="AA17" s="508"/>
      <c r="AB17" s="643"/>
      <c r="AC17" s="508"/>
      <c r="AD17" s="508"/>
      <c r="AE17" s="6"/>
      <c r="AF17" s="6"/>
      <c r="AG17" s="6"/>
      <c r="AH17" s="6"/>
      <c r="AI17" s="6"/>
      <c r="AJ17" s="6"/>
    </row>
    <row r="18" spans="1:36" x14ac:dyDescent="0.2">
      <c r="A18" s="623"/>
      <c r="B18" s="508"/>
      <c r="C18" s="508"/>
      <c r="D18" s="508"/>
      <c r="E18" s="508"/>
      <c r="F18" s="508"/>
      <c r="G18" s="508"/>
      <c r="H18" s="508"/>
      <c r="I18" s="508"/>
      <c r="J18" s="508"/>
      <c r="K18" s="508"/>
      <c r="L18" s="508"/>
      <c r="M18" s="508"/>
      <c r="N18" s="508"/>
      <c r="O18" s="508"/>
      <c r="P18" s="508"/>
      <c r="Q18" s="508"/>
      <c r="R18" s="627"/>
      <c r="S18" s="627"/>
      <c r="T18" s="627"/>
      <c r="U18" s="627"/>
      <c r="V18" s="627"/>
      <c r="W18" s="627"/>
      <c r="X18" s="639"/>
      <c r="Y18" s="639"/>
      <c r="Z18" s="639"/>
      <c r="AA18" s="639"/>
      <c r="AB18" s="639"/>
      <c r="AC18" s="508"/>
      <c r="AD18" s="508"/>
      <c r="AE18" s="6"/>
      <c r="AF18" s="6"/>
      <c r="AG18" s="6"/>
      <c r="AH18" s="6"/>
      <c r="AI18" s="6"/>
      <c r="AJ18" s="6"/>
    </row>
    <row r="19" spans="1:36" x14ac:dyDescent="0.2">
      <c r="A19" s="644"/>
      <c r="B19" s="638" t="s">
        <v>346</v>
      </c>
      <c r="C19" s="639"/>
      <c r="D19" s="639"/>
      <c r="E19" s="639"/>
      <c r="F19" s="639"/>
      <c r="G19" s="639"/>
      <c r="H19" s="639"/>
      <c r="I19" s="627"/>
      <c r="J19" s="627"/>
      <c r="K19" s="627"/>
      <c r="L19" s="627"/>
      <c r="M19" s="627"/>
      <c r="N19" s="627"/>
      <c r="O19" s="627"/>
      <c r="P19" s="627"/>
      <c r="Q19" s="627"/>
      <c r="R19" s="627"/>
      <c r="S19" s="627"/>
      <c r="T19" s="627"/>
      <c r="U19" s="627"/>
      <c r="V19" s="627"/>
      <c r="W19" s="627"/>
      <c r="X19" s="639"/>
      <c r="Y19" s="639"/>
      <c r="Z19" s="639"/>
      <c r="AA19" s="639"/>
      <c r="AB19" s="639"/>
      <c r="AC19" s="508"/>
      <c r="AD19" s="508"/>
      <c r="AE19" s="6"/>
      <c r="AF19" s="6"/>
      <c r="AG19" s="6"/>
      <c r="AH19" s="6"/>
      <c r="AI19" s="6"/>
      <c r="AJ19" s="6"/>
    </row>
    <row r="20" spans="1:36" x14ac:dyDescent="0.2">
      <c r="A20" s="626" t="s">
        <v>348</v>
      </c>
      <c r="B20" s="627"/>
      <c r="C20" s="627"/>
      <c r="D20" s="627"/>
      <c r="E20" s="627"/>
      <c r="F20" s="627"/>
      <c r="G20" s="627"/>
      <c r="H20" s="627"/>
      <c r="I20" s="627"/>
      <c r="J20" s="627"/>
      <c r="K20" s="627"/>
      <c r="L20" s="627"/>
      <c r="M20" s="233"/>
      <c r="N20" s="627"/>
      <c r="O20" s="508"/>
      <c r="P20" s="508"/>
      <c r="Q20" s="627"/>
      <c r="R20" s="627"/>
      <c r="S20" s="627"/>
      <c r="T20" s="627"/>
      <c r="U20" s="627"/>
      <c r="V20" s="627"/>
      <c r="W20" s="645"/>
      <c r="X20" s="645"/>
      <c r="Y20" s="645"/>
      <c r="Z20" s="627"/>
      <c r="AA20" s="627"/>
      <c r="AB20" s="627"/>
      <c r="AC20" s="508"/>
      <c r="AD20" s="508"/>
      <c r="AE20" s="6"/>
      <c r="AF20" s="6"/>
      <c r="AG20" s="6"/>
      <c r="AH20" s="6"/>
      <c r="AI20" s="6"/>
      <c r="AJ20" s="6"/>
    </row>
    <row r="21" spans="1:36" x14ac:dyDescent="0.2">
      <c r="A21" s="626" t="s">
        <v>186</v>
      </c>
      <c r="B21" s="508"/>
      <c r="C21" s="1243" t="str">
        <f>Datos!F130</f>
        <v>CERO CON 00/100</v>
      </c>
      <c r="D21" s="1243"/>
      <c r="E21" s="1243"/>
      <c r="F21" s="1243"/>
      <c r="G21" s="1243"/>
      <c r="H21" s="1243"/>
      <c r="I21" s="1243"/>
      <c r="J21" s="1243"/>
      <c r="K21" s="1243"/>
      <c r="L21" s="1243"/>
      <c r="M21" s="1243"/>
      <c r="N21" s="1243"/>
      <c r="O21" s="1243"/>
      <c r="P21" s="1243"/>
      <c r="Q21" s="1243"/>
      <c r="R21" s="1243"/>
      <c r="S21" s="1243"/>
      <c r="T21" s="1243"/>
      <c r="U21" s="1243"/>
      <c r="V21" s="1243"/>
      <c r="W21" s="1243"/>
      <c r="X21" s="233"/>
      <c r="Y21" s="1258">
        <f>Datos!R129</f>
        <v>0</v>
      </c>
      <c r="Z21" s="1258"/>
      <c r="AA21" s="1258"/>
      <c r="AB21" s="1258"/>
      <c r="AC21" s="508"/>
      <c r="AD21" s="626"/>
      <c r="AE21" s="6"/>
      <c r="AF21" s="6"/>
      <c r="AG21" s="6"/>
      <c r="AH21" s="6"/>
      <c r="AI21" s="6"/>
      <c r="AJ21" s="6"/>
    </row>
    <row r="22" spans="1:36" x14ac:dyDescent="0.2">
      <c r="A22" s="627" t="s">
        <v>349</v>
      </c>
      <c r="B22" s="645"/>
      <c r="C22" s="645"/>
      <c r="D22" s="645"/>
      <c r="E22" s="645"/>
      <c r="F22" s="645"/>
      <c r="G22" s="645"/>
      <c r="H22" s="645"/>
      <c r="I22" s="645"/>
      <c r="J22" s="645"/>
      <c r="K22" s="645"/>
      <c r="L22" s="645"/>
      <c r="M22" s="233"/>
      <c r="N22" s="645"/>
      <c r="O22" s="645"/>
      <c r="P22" s="645"/>
      <c r="Q22" s="233"/>
      <c r="R22" s="645"/>
      <c r="S22" s="645"/>
      <c r="T22" s="645"/>
      <c r="U22" s="645"/>
      <c r="V22" s="645"/>
      <c r="W22" s="645"/>
      <c r="X22" s="645"/>
      <c r="Y22" s="645"/>
      <c r="Z22" s="645"/>
      <c r="AA22" s="645"/>
      <c r="AB22" s="645"/>
      <c r="AC22" s="508"/>
      <c r="AD22" s="508"/>
      <c r="AE22" s="6"/>
      <c r="AF22" s="6"/>
      <c r="AG22" s="6"/>
      <c r="AH22" s="6"/>
      <c r="AI22" s="6"/>
      <c r="AJ22" s="6"/>
    </row>
    <row r="23" spans="1:36" x14ac:dyDescent="0.2">
      <c r="A23" s="646"/>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508"/>
      <c r="AD23" s="508"/>
      <c r="AE23" s="6"/>
      <c r="AF23" s="6"/>
      <c r="AG23" s="6"/>
      <c r="AH23" s="6"/>
      <c r="AI23" s="6"/>
      <c r="AJ23" s="6"/>
    </row>
    <row r="24" spans="1:36" x14ac:dyDescent="0.2">
      <c r="A24" s="646"/>
      <c r="B24" s="638" t="s">
        <v>176</v>
      </c>
      <c r="C24" s="645"/>
      <c r="D24" s="645"/>
      <c r="E24" s="645"/>
      <c r="F24" s="645"/>
      <c r="G24" s="645"/>
      <c r="H24" s="645"/>
      <c r="I24" s="645"/>
      <c r="J24" s="645"/>
      <c r="K24" s="645"/>
      <c r="L24" s="645"/>
      <c r="M24" s="645"/>
      <c r="N24" s="645"/>
      <c r="O24" s="627"/>
      <c r="P24" s="645"/>
      <c r="Q24" s="645"/>
      <c r="R24" s="645"/>
      <c r="S24" s="645"/>
      <c r="T24" s="645"/>
      <c r="U24" s="645"/>
      <c r="V24" s="645"/>
      <c r="W24" s="645"/>
      <c r="X24" s="645"/>
      <c r="Y24" s="645"/>
      <c r="Z24" s="645"/>
      <c r="AA24" s="645"/>
      <c r="AB24" s="645"/>
      <c r="AC24" s="508"/>
      <c r="AD24" s="508"/>
      <c r="AE24" s="6"/>
      <c r="AF24" s="6"/>
      <c r="AG24" s="6"/>
      <c r="AH24" s="6"/>
      <c r="AI24" s="6"/>
      <c r="AJ24" s="6"/>
    </row>
    <row r="25" spans="1:36" x14ac:dyDescent="0.2">
      <c r="A25" s="626" t="s">
        <v>410</v>
      </c>
      <c r="B25" s="645"/>
      <c r="C25" s="1243" t="str">
        <f>Datos!F136</f>
        <v>CERO CON 00/100</v>
      </c>
      <c r="D25" s="1243"/>
      <c r="E25" s="1243"/>
      <c r="F25" s="1243"/>
      <c r="G25" s="1243"/>
      <c r="H25" s="1243"/>
      <c r="I25" s="1243"/>
      <c r="J25" s="1243"/>
      <c r="K25" s="1243"/>
      <c r="L25" s="1243"/>
      <c r="M25" s="1243"/>
      <c r="N25" s="1243"/>
      <c r="O25" s="1243"/>
      <c r="P25" s="1243"/>
      <c r="Q25" s="1243"/>
      <c r="R25" s="1243"/>
      <c r="S25" s="1243"/>
      <c r="T25" s="1243"/>
      <c r="U25" s="1243"/>
      <c r="V25" s="1243"/>
      <c r="W25" s="1244">
        <f>IF(Datos!K59="Reajuste",Datos!R129,Datos!H134)</f>
        <v>0</v>
      </c>
      <c r="X25" s="1244"/>
      <c r="Y25" s="1244"/>
      <c r="Z25" s="1244"/>
      <c r="AA25" s="647"/>
      <c r="AB25" s="629" t="s">
        <v>173</v>
      </c>
      <c r="AC25" s="508"/>
      <c r="AD25" s="508"/>
      <c r="AE25" s="6"/>
      <c r="AF25" s="6"/>
      <c r="AG25" s="6"/>
      <c r="AH25" s="6"/>
      <c r="AI25" s="6"/>
      <c r="AJ25" s="6"/>
    </row>
    <row r="26" spans="1:36" x14ac:dyDescent="0.2">
      <c r="A26" s="626" t="s">
        <v>163</v>
      </c>
      <c r="B26" s="645"/>
      <c r="C26" s="626"/>
      <c r="D26" s="645"/>
      <c r="E26" s="645"/>
      <c r="F26" s="1251">
        <f>Datos!H137</f>
        <v>0</v>
      </c>
      <c r="G26" s="1251"/>
      <c r="H26" s="1251"/>
      <c r="I26" s="1251"/>
      <c r="J26" s="1251"/>
      <c r="K26" s="1251"/>
      <c r="L26" s="1251"/>
      <c r="M26" s="1251"/>
      <c r="N26" s="1251"/>
      <c r="O26" s="1251"/>
      <c r="P26" s="1251"/>
      <c r="Q26" s="1251"/>
      <c r="R26" s="1251"/>
      <c r="S26" s="1251"/>
      <c r="T26" s="1251"/>
      <c r="U26" s="1251"/>
      <c r="V26" s="1251"/>
      <c r="W26" s="648"/>
      <c r="X26" s="648"/>
      <c r="Y26" s="648"/>
      <c r="Z26" s="645"/>
      <c r="AA26" s="645"/>
      <c r="AB26" s="629" t="s">
        <v>174</v>
      </c>
      <c r="AC26" s="508"/>
      <c r="AD26" s="508"/>
      <c r="AE26" s="6"/>
      <c r="AF26" s="6"/>
      <c r="AG26" s="6"/>
      <c r="AH26" s="6"/>
      <c r="AI26" s="6"/>
      <c r="AJ26" s="6"/>
    </row>
    <row r="27" spans="1:36" x14ac:dyDescent="0.2">
      <c r="A27" s="1246">
        <f>Datos!H139</f>
        <v>0</v>
      </c>
      <c r="B27" s="1246"/>
      <c r="C27" s="1246"/>
      <c r="D27" s="1246"/>
      <c r="E27" s="1246"/>
      <c r="F27" s="1246"/>
      <c r="G27" s="1246"/>
      <c r="H27" s="1246"/>
      <c r="I27" s="1246"/>
      <c r="J27" s="1246"/>
      <c r="K27" s="1246"/>
      <c r="L27" s="1246"/>
      <c r="M27" s="627" t="s">
        <v>431</v>
      </c>
      <c r="N27" s="508"/>
      <c r="O27" s="508"/>
      <c r="P27" s="508"/>
      <c r="Q27" s="508"/>
      <c r="R27" s="508"/>
      <c r="S27" s="508"/>
      <c r="T27" s="508"/>
      <c r="U27" s="508"/>
      <c r="V27" s="508"/>
      <c r="W27" s="645"/>
      <c r="X27" s="645"/>
      <c r="Y27" s="645"/>
      <c r="Z27" s="645"/>
      <c r="AA27" s="645"/>
      <c r="AB27" s="233"/>
      <c r="AC27" s="508"/>
      <c r="AD27" s="508"/>
      <c r="AE27" s="6"/>
      <c r="AF27" s="6"/>
      <c r="AG27" s="6"/>
      <c r="AH27" s="6"/>
      <c r="AI27" s="6"/>
      <c r="AJ27" s="6"/>
    </row>
    <row r="28" spans="1:36" x14ac:dyDescent="0.2">
      <c r="A28" s="623"/>
      <c r="B28" s="645"/>
      <c r="C28" s="645"/>
      <c r="D28" s="645"/>
      <c r="E28" s="627"/>
      <c r="F28" s="627"/>
      <c r="G28" s="627"/>
      <c r="H28" s="627"/>
      <c r="I28" s="627"/>
      <c r="J28" s="627"/>
      <c r="K28" s="627"/>
      <c r="L28" s="627"/>
      <c r="M28" s="645"/>
      <c r="N28" s="627"/>
      <c r="O28" s="627"/>
      <c r="P28" s="645"/>
      <c r="Q28" s="645"/>
      <c r="R28" s="645"/>
      <c r="S28" s="645"/>
      <c r="T28" s="645"/>
      <c r="U28" s="645"/>
      <c r="V28" s="645"/>
      <c r="W28" s="645"/>
      <c r="X28" s="645"/>
      <c r="Y28" s="645"/>
      <c r="Z28" s="645"/>
      <c r="AA28" s="645"/>
      <c r="AB28" s="645"/>
      <c r="AC28" s="508"/>
      <c r="AD28" s="508"/>
      <c r="AE28" s="6"/>
      <c r="AF28" s="6"/>
      <c r="AG28" s="6"/>
      <c r="AH28" s="6"/>
      <c r="AI28" s="6"/>
      <c r="AJ28" s="6"/>
    </row>
    <row r="29" spans="1:36" x14ac:dyDescent="0.2">
      <c r="A29" s="646"/>
      <c r="B29" s="645"/>
      <c r="C29" s="645"/>
      <c r="D29" s="645"/>
      <c r="E29" s="645"/>
      <c r="F29" s="645"/>
      <c r="G29" s="645"/>
      <c r="H29" s="645"/>
      <c r="I29" s="645"/>
      <c r="J29" s="645"/>
      <c r="K29" s="645"/>
      <c r="L29" s="508"/>
      <c r="M29" s="508"/>
      <c r="N29" s="645"/>
      <c r="O29" s="508"/>
      <c r="P29" s="508"/>
      <c r="Q29" s="508"/>
      <c r="R29" s="627"/>
      <c r="S29" s="627"/>
      <c r="T29" s="627"/>
      <c r="U29" s="627"/>
      <c r="V29" s="627"/>
      <c r="W29" s="627"/>
      <c r="X29" s="627"/>
      <c r="Y29" s="627"/>
      <c r="Z29" s="627"/>
      <c r="AA29" s="627"/>
      <c r="AB29" s="627"/>
      <c r="AC29" s="627"/>
      <c r="AD29" s="508"/>
      <c r="AE29" s="6"/>
      <c r="AF29" s="6"/>
      <c r="AG29" s="6"/>
      <c r="AH29" s="6"/>
      <c r="AI29" s="6"/>
      <c r="AJ29" s="6"/>
    </row>
    <row r="30" spans="1:36" x14ac:dyDescent="0.2">
      <c r="A30" s="626"/>
      <c r="B30" s="638" t="s">
        <v>177</v>
      </c>
      <c r="C30" s="645"/>
      <c r="D30" s="627"/>
      <c r="E30" s="627"/>
      <c r="F30" s="627"/>
      <c r="G30" s="627"/>
      <c r="H30" s="627"/>
      <c r="I30" s="627"/>
      <c r="J30" s="627"/>
      <c r="K30" s="627"/>
      <c r="L30" s="627"/>
      <c r="M30" s="627"/>
      <c r="N30" s="627"/>
      <c r="O30" s="508"/>
      <c r="P30" s="508"/>
      <c r="Q30" s="508"/>
      <c r="R30" s="627"/>
      <c r="S30" s="649" t="s">
        <v>185</v>
      </c>
      <c r="T30" s="650"/>
      <c r="U30" s="650"/>
      <c r="V30" s="650"/>
      <c r="W30" s="650"/>
      <c r="X30" s="650"/>
      <c r="Y30" s="650"/>
      <c r="Z30" s="650"/>
      <c r="AA30" s="650"/>
      <c r="AB30" s="650"/>
      <c r="AC30" s="627"/>
      <c r="AD30" s="508"/>
      <c r="AE30" s="6"/>
      <c r="AF30" s="6"/>
      <c r="AG30" s="6"/>
      <c r="AH30" s="6"/>
      <c r="AI30" s="6"/>
      <c r="AJ30" s="6"/>
    </row>
    <row r="31" spans="1:36" x14ac:dyDescent="0.2">
      <c r="A31" s="626" t="s">
        <v>164</v>
      </c>
      <c r="B31" s="627"/>
      <c r="C31" s="627"/>
      <c r="D31" s="627"/>
      <c r="E31" s="645"/>
      <c r="F31" s="1247">
        <f>Datos!K57</f>
        <v>0</v>
      </c>
      <c r="G31" s="1247"/>
      <c r="H31" s="1247"/>
      <c r="I31" s="1247"/>
      <c r="J31" s="1247"/>
      <c r="K31" s="1252">
        <f>Datos!K58</f>
        <v>0</v>
      </c>
      <c r="L31" s="1252"/>
      <c r="M31" s="645"/>
      <c r="N31" s="629" t="s">
        <v>165</v>
      </c>
      <c r="O31" s="627" t="s">
        <v>350</v>
      </c>
      <c r="P31" s="508"/>
      <c r="Q31" s="508"/>
      <c r="R31" s="645"/>
      <c r="S31" s="580"/>
      <c r="T31" s="645"/>
      <c r="U31" s="645"/>
      <c r="V31" s="645"/>
      <c r="W31" s="645"/>
      <c r="X31" s="645"/>
      <c r="Y31" s="645"/>
      <c r="Z31" s="645"/>
      <c r="AA31" s="645"/>
      <c r="AB31" s="645"/>
      <c r="AC31" s="645"/>
      <c r="AD31" s="508"/>
      <c r="AE31" s="6"/>
      <c r="AF31" s="6"/>
      <c r="AG31" s="6"/>
      <c r="AH31" s="6"/>
      <c r="AI31" s="6"/>
      <c r="AJ31" s="6"/>
    </row>
    <row r="32" spans="1:36" x14ac:dyDescent="0.2">
      <c r="A32" s="626" t="s">
        <v>351</v>
      </c>
      <c r="B32" s="645"/>
      <c r="C32" s="645"/>
      <c r="D32" s="645"/>
      <c r="E32" s="645"/>
      <c r="F32" s="645"/>
      <c r="G32" s="645"/>
      <c r="H32" s="645"/>
      <c r="I32" s="645"/>
      <c r="J32" s="645"/>
      <c r="K32" s="645"/>
      <c r="L32" s="645"/>
      <c r="M32" s="645"/>
      <c r="N32" s="645"/>
      <c r="O32" s="508"/>
      <c r="P32" s="508"/>
      <c r="Q32" s="508"/>
      <c r="R32" s="645"/>
      <c r="S32" s="651"/>
      <c r="T32" s="645"/>
      <c r="U32" s="645"/>
      <c r="V32" s="645"/>
      <c r="W32" s="645"/>
      <c r="X32" s="645"/>
      <c r="Y32" s="645"/>
      <c r="Z32" s="645"/>
      <c r="AA32" s="645"/>
      <c r="AB32" s="645"/>
      <c r="AC32" s="645"/>
      <c r="AD32" s="508"/>
      <c r="AE32" s="6"/>
      <c r="AF32" s="6"/>
      <c r="AG32" s="6"/>
      <c r="AH32" s="6"/>
      <c r="AI32" s="6"/>
      <c r="AJ32" s="6"/>
    </row>
    <row r="33" spans="1:36" x14ac:dyDescent="0.2">
      <c r="A33" s="626" t="s">
        <v>352</v>
      </c>
      <c r="B33" s="627"/>
      <c r="C33" s="627"/>
      <c r="D33" s="627"/>
      <c r="E33" s="627"/>
      <c r="F33" s="627"/>
      <c r="G33" s="627"/>
      <c r="H33" s="627"/>
      <c r="I33" s="627"/>
      <c r="J33" s="627"/>
      <c r="K33" s="627"/>
      <c r="L33" s="627"/>
      <c r="M33" s="627"/>
      <c r="N33" s="627"/>
      <c r="O33" s="508"/>
      <c r="P33" s="508"/>
      <c r="Q33" s="508"/>
      <c r="R33" s="645"/>
      <c r="S33" s="651"/>
      <c r="T33" s="645"/>
      <c r="U33" s="645"/>
      <c r="V33" s="645"/>
      <c r="W33" s="645"/>
      <c r="X33" s="645"/>
      <c r="Y33" s="645"/>
      <c r="Z33" s="645"/>
      <c r="AA33" s="645"/>
      <c r="AB33" s="645"/>
      <c r="AC33" s="645"/>
      <c r="AD33" s="508"/>
      <c r="AE33" s="6"/>
      <c r="AF33" s="6"/>
      <c r="AG33" s="6"/>
      <c r="AH33" s="6"/>
      <c r="AI33" s="6"/>
      <c r="AJ33" s="6"/>
    </row>
    <row r="34" spans="1:36" x14ac:dyDescent="0.2">
      <c r="A34" s="626" t="s">
        <v>353</v>
      </c>
      <c r="B34" s="627"/>
      <c r="C34" s="627"/>
      <c r="D34" s="652"/>
      <c r="E34" s="627"/>
      <c r="F34" s="638"/>
      <c r="G34" s="627"/>
      <c r="H34" s="627"/>
      <c r="I34" s="627"/>
      <c r="J34" s="627"/>
      <c r="K34" s="627"/>
      <c r="L34" s="627"/>
      <c r="M34" s="627"/>
      <c r="N34" s="627"/>
      <c r="O34" s="508"/>
      <c r="P34" s="508"/>
      <c r="Q34" s="508"/>
      <c r="R34" s="645"/>
      <c r="S34" s="651"/>
      <c r="T34" s="645"/>
      <c r="U34" s="645"/>
      <c r="V34" s="645"/>
      <c r="W34" s="645"/>
      <c r="X34" s="645"/>
      <c r="Y34" s="645"/>
      <c r="Z34" s="645"/>
      <c r="AA34" s="645"/>
      <c r="AB34" s="645"/>
      <c r="AC34" s="645"/>
      <c r="AD34" s="508"/>
      <c r="AE34" s="6"/>
      <c r="AF34" s="6"/>
      <c r="AG34" s="6"/>
      <c r="AH34" s="6"/>
      <c r="AI34" s="6"/>
      <c r="AJ34" s="6"/>
    </row>
    <row r="35" spans="1:36" x14ac:dyDescent="0.2">
      <c r="A35" s="626" t="s">
        <v>354</v>
      </c>
      <c r="B35" s="638"/>
      <c r="C35" s="627"/>
      <c r="D35" s="645"/>
      <c r="E35" s="627"/>
      <c r="F35" s="627"/>
      <c r="G35" s="627"/>
      <c r="H35" s="627"/>
      <c r="I35" s="627"/>
      <c r="J35" s="627"/>
      <c r="K35" s="627"/>
      <c r="L35" s="627"/>
      <c r="M35" s="627"/>
      <c r="N35" s="627"/>
      <c r="O35" s="508"/>
      <c r="P35" s="508"/>
      <c r="Q35" s="508"/>
      <c r="R35" s="645"/>
      <c r="S35" s="651"/>
      <c r="T35" s="645"/>
      <c r="U35" s="645"/>
      <c r="V35" s="645"/>
      <c r="W35" s="645"/>
      <c r="X35" s="645"/>
      <c r="Y35" s="645"/>
      <c r="Z35" s="645"/>
      <c r="AA35" s="645"/>
      <c r="AB35" s="645"/>
      <c r="AC35" s="645"/>
      <c r="AD35" s="508"/>
      <c r="AE35" s="6"/>
      <c r="AF35" s="6"/>
      <c r="AG35" s="6"/>
      <c r="AH35" s="6"/>
      <c r="AI35" s="6"/>
      <c r="AJ35" s="6"/>
    </row>
    <row r="36" spans="1:36" x14ac:dyDescent="0.2">
      <c r="A36" s="626"/>
      <c r="B36" s="627"/>
      <c r="C36" s="627"/>
      <c r="D36" s="645"/>
      <c r="E36" s="627"/>
      <c r="F36" s="627"/>
      <c r="G36" s="627"/>
      <c r="H36" s="627"/>
      <c r="I36" s="627"/>
      <c r="J36" s="627"/>
      <c r="K36" s="627"/>
      <c r="L36" s="627"/>
      <c r="M36" s="627"/>
      <c r="N36" s="627"/>
      <c r="O36" s="508"/>
      <c r="P36" s="508"/>
      <c r="Q36" s="508"/>
      <c r="R36" s="645"/>
      <c r="S36" s="651"/>
      <c r="T36" s="645"/>
      <c r="U36" s="645"/>
      <c r="V36" s="645"/>
      <c r="W36" s="645"/>
      <c r="X36" s="645"/>
      <c r="Y36" s="645"/>
      <c r="Z36" s="645"/>
      <c r="AA36" s="645"/>
      <c r="AB36" s="645"/>
      <c r="AC36" s="645"/>
      <c r="AD36" s="508"/>
      <c r="AE36" s="6"/>
      <c r="AF36" s="6"/>
      <c r="AG36" s="6"/>
      <c r="AH36" s="6"/>
      <c r="AI36" s="6"/>
      <c r="AJ36" s="6"/>
    </row>
    <row r="37" spans="1:36" x14ac:dyDescent="0.2">
      <c r="A37" s="646"/>
      <c r="B37" s="638" t="s">
        <v>355</v>
      </c>
      <c r="C37" s="645"/>
      <c r="D37" s="645"/>
      <c r="E37" s="645"/>
      <c r="F37" s="645"/>
      <c r="G37" s="645"/>
      <c r="H37" s="645"/>
      <c r="I37" s="645"/>
      <c r="J37" s="645"/>
      <c r="K37" s="645"/>
      <c r="L37" s="645"/>
      <c r="M37" s="645"/>
      <c r="N37" s="645"/>
      <c r="O37" s="508"/>
      <c r="P37" s="508"/>
      <c r="Q37" s="508"/>
      <c r="R37" s="645"/>
      <c r="S37" s="651"/>
      <c r="T37" s="645"/>
      <c r="U37" s="645"/>
      <c r="V37" s="645"/>
      <c r="W37" s="645"/>
      <c r="X37" s="645"/>
      <c r="Y37" s="645"/>
      <c r="Z37" s="645"/>
      <c r="AA37" s="645"/>
      <c r="AB37" s="645"/>
      <c r="AC37" s="645"/>
      <c r="AD37" s="508"/>
      <c r="AE37" s="6"/>
      <c r="AF37" s="6"/>
      <c r="AG37" s="6"/>
      <c r="AH37" s="6"/>
      <c r="AI37" s="6"/>
      <c r="AJ37" s="6"/>
    </row>
    <row r="38" spans="1:36" x14ac:dyDescent="0.2">
      <c r="A38" s="626" t="s">
        <v>411</v>
      </c>
      <c r="B38" s="233"/>
      <c r="C38" s="627"/>
      <c r="D38" s="627"/>
      <c r="E38" s="627"/>
      <c r="F38" s="627"/>
      <c r="G38" s="627"/>
      <c r="H38" s="627"/>
      <c r="I38" s="627"/>
      <c r="J38" s="627"/>
      <c r="K38" s="627"/>
      <c r="L38" s="627"/>
      <c r="M38" s="627"/>
      <c r="N38" s="627"/>
      <c r="O38" s="508"/>
      <c r="P38" s="508"/>
      <c r="Q38" s="508"/>
      <c r="R38" s="645"/>
      <c r="S38" s="651"/>
      <c r="T38" s="645"/>
      <c r="U38" s="645"/>
      <c r="V38" s="645"/>
      <c r="W38" s="645"/>
      <c r="X38" s="645"/>
      <c r="Y38" s="645"/>
      <c r="Z38" s="645"/>
      <c r="AA38" s="645"/>
      <c r="AB38" s="645"/>
      <c r="AC38" s="645"/>
      <c r="AD38" s="508"/>
      <c r="AE38" s="6"/>
      <c r="AF38" s="6"/>
      <c r="AG38" s="6"/>
      <c r="AH38" s="6"/>
      <c r="AI38" s="6"/>
      <c r="AJ38" s="6"/>
    </row>
    <row r="39" spans="1:36" x14ac:dyDescent="0.2">
      <c r="A39" s="653" t="s">
        <v>356</v>
      </c>
      <c r="B39" s="627"/>
      <c r="C39" s="627"/>
      <c r="D39" s="627"/>
      <c r="E39" s="627"/>
      <c r="F39" s="627"/>
      <c r="G39" s="627"/>
      <c r="H39" s="627"/>
      <c r="I39" s="627"/>
      <c r="J39" s="627"/>
      <c r="K39" s="627"/>
      <c r="L39" s="627"/>
      <c r="M39" s="627"/>
      <c r="N39" s="627"/>
      <c r="O39" s="508"/>
      <c r="P39" s="508"/>
      <c r="Q39" s="508"/>
      <c r="R39" s="627"/>
      <c r="S39" s="654"/>
      <c r="T39" s="655"/>
      <c r="U39" s="655"/>
      <c r="V39" s="655"/>
      <c r="W39" s="655"/>
      <c r="X39" s="655"/>
      <c r="Y39" s="655"/>
      <c r="Z39" s="655"/>
      <c r="AA39" s="655"/>
      <c r="AB39" s="655"/>
      <c r="AC39" s="645"/>
      <c r="AD39" s="508"/>
      <c r="AE39" s="6"/>
      <c r="AF39" s="6"/>
      <c r="AG39" s="6"/>
      <c r="AH39" s="6"/>
      <c r="AI39" s="6"/>
      <c r="AJ39" s="6"/>
    </row>
    <row r="40" spans="1:36" x14ac:dyDescent="0.2">
      <c r="A40" s="626"/>
      <c r="B40" s="627"/>
      <c r="C40" s="645"/>
      <c r="D40" s="626"/>
      <c r="E40" s="626"/>
      <c r="F40" s="626"/>
      <c r="G40" s="626"/>
      <c r="H40" s="626"/>
      <c r="I40" s="626"/>
      <c r="J40" s="626"/>
      <c r="K40" s="626"/>
      <c r="L40" s="626"/>
      <c r="M40" s="626"/>
      <c r="N40" s="626"/>
      <c r="O40" s="508"/>
      <c r="P40" s="508"/>
      <c r="Q40" s="508"/>
      <c r="R40" s="627"/>
      <c r="S40" s="645"/>
      <c r="T40" s="645"/>
      <c r="U40" s="645"/>
      <c r="V40" s="645"/>
      <c r="W40" s="645"/>
      <c r="X40" s="645"/>
      <c r="Y40" s="645"/>
      <c r="Z40" s="645"/>
      <c r="AA40" s="645"/>
      <c r="AB40" s="645"/>
      <c r="AC40" s="645"/>
      <c r="AD40" s="508"/>
      <c r="AE40" s="6"/>
      <c r="AF40" s="6"/>
      <c r="AG40" s="6"/>
      <c r="AH40" s="6"/>
      <c r="AI40" s="6"/>
      <c r="AJ40" s="6"/>
    </row>
    <row r="41" spans="1:36" x14ac:dyDescent="0.2">
      <c r="A41" s="646"/>
      <c r="B41" s="638" t="s">
        <v>357</v>
      </c>
      <c r="C41" s="645"/>
      <c r="D41" s="645"/>
      <c r="E41" s="645"/>
      <c r="F41" s="645"/>
      <c r="G41" s="645"/>
      <c r="H41" s="645"/>
      <c r="I41" s="645"/>
      <c r="J41" s="645"/>
      <c r="K41" s="645"/>
      <c r="L41" s="645"/>
      <c r="M41" s="645"/>
      <c r="N41" s="627"/>
      <c r="O41" s="627"/>
      <c r="P41" s="645"/>
      <c r="Q41" s="645"/>
      <c r="R41" s="645"/>
      <c r="S41" s="645"/>
      <c r="T41" s="645"/>
      <c r="U41" s="645"/>
      <c r="V41" s="645"/>
      <c r="W41" s="645"/>
      <c r="X41" s="645"/>
      <c r="Y41" s="645"/>
      <c r="Z41" s="645"/>
      <c r="AA41" s="645"/>
      <c r="AB41" s="645"/>
      <c r="AC41" s="508"/>
      <c r="AD41" s="508"/>
      <c r="AE41" s="6"/>
      <c r="AF41" s="6"/>
      <c r="AG41" s="6"/>
      <c r="AH41" s="6"/>
      <c r="AI41" s="6"/>
      <c r="AJ41" s="6"/>
    </row>
    <row r="42" spans="1:36" x14ac:dyDescent="0.2">
      <c r="A42" s="626" t="s">
        <v>358</v>
      </c>
      <c r="B42" s="233"/>
      <c r="C42" s="627"/>
      <c r="D42" s="627"/>
      <c r="E42" s="627"/>
      <c r="F42" s="627"/>
      <c r="G42" s="645"/>
      <c r="H42" s="645"/>
      <c r="I42" s="645"/>
      <c r="J42" s="627"/>
      <c r="K42" s="627"/>
      <c r="L42" s="627"/>
      <c r="M42" s="645"/>
      <c r="N42" s="627"/>
      <c r="O42" s="627"/>
      <c r="P42" s="645"/>
      <c r="Q42" s="645"/>
      <c r="R42" s="645"/>
      <c r="S42" s="645"/>
      <c r="T42" s="645"/>
      <c r="U42" s="645"/>
      <c r="V42" s="645"/>
      <c r="W42" s="645"/>
      <c r="X42" s="645"/>
      <c r="Y42" s="645"/>
      <c r="Z42" s="645"/>
      <c r="AA42" s="645"/>
      <c r="AB42" s="645"/>
      <c r="AC42" s="508"/>
      <c r="AD42" s="508"/>
      <c r="AE42" s="6"/>
      <c r="AF42" s="6"/>
      <c r="AG42" s="6"/>
      <c r="AH42" s="6"/>
      <c r="AI42" s="6"/>
      <c r="AJ42" s="6"/>
    </row>
    <row r="43" spans="1:36" x14ac:dyDescent="0.2">
      <c r="A43" s="626" t="s">
        <v>359</v>
      </c>
      <c r="B43" s="627"/>
      <c r="C43" s="627"/>
      <c r="D43" s="627"/>
      <c r="E43" s="627"/>
      <c r="F43" s="627"/>
      <c r="G43" s="627"/>
      <c r="H43" s="627"/>
      <c r="I43" s="645"/>
      <c r="J43" s="627"/>
      <c r="K43" s="627"/>
      <c r="L43" s="627"/>
      <c r="M43" s="508"/>
      <c r="N43" s="627"/>
      <c r="O43" s="627"/>
      <c r="P43" s="627"/>
      <c r="Q43" s="627"/>
      <c r="R43" s="627"/>
      <c r="S43" s="627"/>
      <c r="T43" s="627"/>
      <c r="U43" s="627"/>
      <c r="V43" s="627"/>
      <c r="W43" s="627"/>
      <c r="X43" s="627"/>
      <c r="Y43" s="627"/>
      <c r="Z43" s="627"/>
      <c r="AA43" s="627"/>
      <c r="AB43" s="627"/>
      <c r="AC43" s="508"/>
      <c r="AD43" s="508"/>
      <c r="AE43" s="6"/>
      <c r="AF43" s="6"/>
      <c r="AG43" s="6"/>
      <c r="AH43" s="6"/>
      <c r="AI43" s="6"/>
      <c r="AJ43" s="6"/>
    </row>
    <row r="44" spans="1:36" x14ac:dyDescent="0.2">
      <c r="A44" s="626" t="s">
        <v>360</v>
      </c>
      <c r="B44" s="627"/>
      <c r="C44" s="627"/>
      <c r="D44" s="627"/>
      <c r="E44" s="627"/>
      <c r="F44" s="627"/>
      <c r="G44" s="627"/>
      <c r="H44" s="627"/>
      <c r="I44" s="627"/>
      <c r="J44" s="508"/>
      <c r="K44" s="508"/>
      <c r="L44" s="508"/>
      <c r="M44" s="508"/>
      <c r="N44" s="627"/>
      <c r="O44" s="627"/>
      <c r="P44" s="627"/>
      <c r="Q44" s="627"/>
      <c r="R44" s="627"/>
      <c r="S44" s="627"/>
      <c r="T44" s="627"/>
      <c r="U44" s="627"/>
      <c r="V44" s="627"/>
      <c r="W44" s="627"/>
      <c r="X44" s="627"/>
      <c r="Y44" s="627"/>
      <c r="Z44" s="627"/>
      <c r="AA44" s="627"/>
      <c r="AB44" s="627"/>
      <c r="AC44" s="508"/>
      <c r="AD44" s="508"/>
      <c r="AE44" s="6"/>
      <c r="AF44" s="6"/>
      <c r="AG44" s="6"/>
      <c r="AH44" s="6"/>
      <c r="AI44" s="6"/>
      <c r="AJ44" s="6"/>
    </row>
    <row r="45" spans="1:36" x14ac:dyDescent="0.2">
      <c r="A45" s="623"/>
      <c r="B45" s="508"/>
      <c r="C45" s="508"/>
      <c r="D45" s="508"/>
      <c r="E45" s="508"/>
      <c r="F45" s="508"/>
      <c r="G45" s="508"/>
      <c r="H45" s="508"/>
      <c r="I45" s="508"/>
      <c r="J45" s="508"/>
      <c r="K45" s="508"/>
      <c r="L45" s="627"/>
      <c r="M45" s="627"/>
      <c r="N45" s="508"/>
      <c r="O45" s="508"/>
      <c r="P45" s="508"/>
      <c r="Q45" s="508"/>
      <c r="R45" s="627"/>
      <c r="S45" s="627"/>
      <c r="T45" s="627"/>
      <c r="U45" s="627"/>
      <c r="V45" s="627"/>
      <c r="W45" s="627"/>
      <c r="X45" s="627"/>
      <c r="Y45" s="627"/>
      <c r="Z45" s="627"/>
      <c r="AA45" s="627"/>
      <c r="AB45" s="627"/>
      <c r="AC45" s="627"/>
      <c r="AD45" s="508"/>
      <c r="AE45" s="6"/>
      <c r="AF45" s="6"/>
      <c r="AG45" s="6"/>
      <c r="AH45" s="6"/>
      <c r="AI45" s="6"/>
      <c r="AJ45" s="6"/>
    </row>
    <row r="46" spans="1:36" x14ac:dyDescent="0.2">
      <c r="A46" s="626"/>
      <c r="B46" s="638" t="s">
        <v>178</v>
      </c>
      <c r="C46" s="627"/>
      <c r="D46" s="627"/>
      <c r="E46" s="627"/>
      <c r="F46" s="627"/>
      <c r="G46" s="627"/>
      <c r="H46" s="627"/>
      <c r="I46" s="627"/>
      <c r="J46" s="627"/>
      <c r="K46" s="627"/>
      <c r="L46" s="627"/>
      <c r="M46" s="627"/>
      <c r="N46" s="508"/>
      <c r="O46" s="508"/>
      <c r="P46" s="508"/>
      <c r="Q46" s="508"/>
      <c r="R46" s="627"/>
      <c r="S46" s="649" t="s">
        <v>184</v>
      </c>
      <c r="T46" s="650"/>
      <c r="U46" s="650"/>
      <c r="V46" s="650"/>
      <c r="W46" s="650"/>
      <c r="X46" s="650"/>
      <c r="Y46" s="650"/>
      <c r="Z46" s="650"/>
      <c r="AA46" s="650"/>
      <c r="AB46" s="650"/>
      <c r="AC46" s="627"/>
      <c r="AD46" s="508"/>
      <c r="AE46" s="6"/>
      <c r="AF46" s="6"/>
      <c r="AG46" s="6"/>
      <c r="AH46" s="6"/>
      <c r="AI46" s="6"/>
      <c r="AJ46" s="6"/>
    </row>
    <row r="47" spans="1:36" x14ac:dyDescent="0.2">
      <c r="A47" s="626" t="s">
        <v>166</v>
      </c>
      <c r="B47" s="627"/>
      <c r="C47" s="627"/>
      <c r="D47" s="627"/>
      <c r="E47" s="627"/>
      <c r="F47" s="627"/>
      <c r="G47" s="627"/>
      <c r="H47" s="627"/>
      <c r="I47" s="627"/>
      <c r="J47" s="627"/>
      <c r="K47" s="627"/>
      <c r="L47" s="627"/>
      <c r="M47" s="627"/>
      <c r="N47" s="508"/>
      <c r="O47" s="508"/>
      <c r="P47" s="508"/>
      <c r="Q47" s="508"/>
      <c r="R47" s="645"/>
      <c r="S47" s="580"/>
      <c r="T47" s="645"/>
      <c r="U47" s="645"/>
      <c r="V47" s="645"/>
      <c r="W47" s="645"/>
      <c r="X47" s="645"/>
      <c r="Y47" s="645"/>
      <c r="Z47" s="645"/>
      <c r="AA47" s="645"/>
      <c r="AB47" s="645"/>
      <c r="AC47" s="645"/>
      <c r="AD47" s="508"/>
      <c r="AE47" s="6"/>
      <c r="AF47" s="6"/>
      <c r="AG47" s="6"/>
      <c r="AH47" s="6"/>
      <c r="AI47" s="6"/>
      <c r="AJ47" s="6"/>
    </row>
    <row r="48" spans="1:36" x14ac:dyDescent="0.2">
      <c r="A48" s="626" t="s">
        <v>167</v>
      </c>
      <c r="B48" s="627"/>
      <c r="C48" s="627"/>
      <c r="D48" s="627"/>
      <c r="E48" s="627"/>
      <c r="F48" s="627"/>
      <c r="G48" s="627"/>
      <c r="H48" s="627"/>
      <c r="I48" s="627"/>
      <c r="J48" s="627"/>
      <c r="K48" s="627"/>
      <c r="L48" s="627"/>
      <c r="M48" s="627"/>
      <c r="N48" s="508"/>
      <c r="O48" s="508"/>
      <c r="P48" s="508"/>
      <c r="Q48" s="508"/>
      <c r="R48" s="645"/>
      <c r="S48" s="651"/>
      <c r="T48" s="645"/>
      <c r="U48" s="645"/>
      <c r="V48" s="645"/>
      <c r="W48" s="645"/>
      <c r="X48" s="645"/>
      <c r="Y48" s="645"/>
      <c r="Z48" s="645"/>
      <c r="AA48" s="645"/>
      <c r="AB48" s="645"/>
      <c r="AC48" s="645"/>
      <c r="AD48" s="508"/>
      <c r="AE48" s="6"/>
      <c r="AF48" s="6"/>
      <c r="AG48" s="6"/>
      <c r="AH48" s="6"/>
      <c r="AI48" s="6"/>
      <c r="AJ48" s="6"/>
    </row>
    <row r="49" spans="1:36" x14ac:dyDescent="0.2">
      <c r="A49" s="626" t="s">
        <v>168</v>
      </c>
      <c r="B49" s="508"/>
      <c r="C49" s="508"/>
      <c r="D49" s="508"/>
      <c r="E49" s="508"/>
      <c r="F49" s="508"/>
      <c r="G49" s="627"/>
      <c r="H49" s="627"/>
      <c r="I49" s="627"/>
      <c r="J49" s="627"/>
      <c r="K49" s="627"/>
      <c r="L49" s="508"/>
      <c r="M49" s="508"/>
      <c r="N49" s="508"/>
      <c r="O49" s="508"/>
      <c r="P49" s="508"/>
      <c r="Q49" s="508"/>
      <c r="R49" s="645"/>
      <c r="S49" s="651"/>
      <c r="T49" s="645"/>
      <c r="U49" s="645"/>
      <c r="V49" s="645"/>
      <c r="W49" s="645"/>
      <c r="X49" s="645"/>
      <c r="Y49" s="645"/>
      <c r="Z49" s="645"/>
      <c r="AA49" s="645"/>
      <c r="AB49" s="645"/>
      <c r="AC49" s="645"/>
      <c r="AD49" s="508"/>
      <c r="AE49" s="6"/>
      <c r="AF49" s="6"/>
      <c r="AG49" s="6"/>
      <c r="AH49" s="6"/>
      <c r="AI49" s="6"/>
      <c r="AJ49" s="6"/>
    </row>
    <row r="50" spans="1:36" x14ac:dyDescent="0.2">
      <c r="A50" s="623"/>
      <c r="B50" s="508"/>
      <c r="C50" s="508"/>
      <c r="D50" s="508"/>
      <c r="E50" s="508"/>
      <c r="F50" s="508"/>
      <c r="G50" s="508"/>
      <c r="H50" s="508"/>
      <c r="I50" s="508"/>
      <c r="J50" s="508"/>
      <c r="K50" s="508"/>
      <c r="L50" s="508"/>
      <c r="M50" s="508"/>
      <c r="N50" s="627"/>
      <c r="O50" s="508"/>
      <c r="P50" s="508"/>
      <c r="Q50" s="508"/>
      <c r="R50" s="645"/>
      <c r="S50" s="651"/>
      <c r="T50" s="645"/>
      <c r="U50" s="645"/>
      <c r="V50" s="645"/>
      <c r="W50" s="645"/>
      <c r="X50" s="645"/>
      <c r="Y50" s="645"/>
      <c r="Z50" s="645"/>
      <c r="AA50" s="645"/>
      <c r="AB50" s="645"/>
      <c r="AC50" s="645"/>
      <c r="AD50" s="508"/>
      <c r="AE50" s="6"/>
      <c r="AF50" s="6"/>
      <c r="AG50" s="6"/>
      <c r="AH50" s="6"/>
      <c r="AI50" s="6"/>
      <c r="AJ50" s="6"/>
    </row>
    <row r="51" spans="1:36" x14ac:dyDescent="0.2">
      <c r="A51" s="646"/>
      <c r="B51" s="638" t="s">
        <v>179</v>
      </c>
      <c r="C51" s="508"/>
      <c r="D51" s="508"/>
      <c r="E51" s="508"/>
      <c r="F51" s="508"/>
      <c r="G51" s="627"/>
      <c r="H51" s="627"/>
      <c r="I51" s="627"/>
      <c r="J51" s="627"/>
      <c r="K51" s="627"/>
      <c r="L51" s="627"/>
      <c r="M51" s="627"/>
      <c r="N51" s="627"/>
      <c r="O51" s="508"/>
      <c r="P51" s="508"/>
      <c r="Q51" s="508"/>
      <c r="R51" s="645"/>
      <c r="S51" s="651"/>
      <c r="T51" s="645"/>
      <c r="U51" s="645"/>
      <c r="V51" s="645"/>
      <c r="W51" s="645"/>
      <c r="X51" s="645"/>
      <c r="Y51" s="645"/>
      <c r="Z51" s="645"/>
      <c r="AA51" s="645"/>
      <c r="AB51" s="645"/>
      <c r="AC51" s="645"/>
      <c r="AD51" s="508"/>
      <c r="AE51" s="6"/>
      <c r="AF51" s="6"/>
      <c r="AG51" s="6"/>
      <c r="AH51" s="6"/>
      <c r="AI51" s="6"/>
      <c r="AJ51" s="6"/>
    </row>
    <row r="52" spans="1:36" x14ac:dyDescent="0.2">
      <c r="A52" s="626" t="s">
        <v>172</v>
      </c>
      <c r="B52" s="645"/>
      <c r="C52" s="508"/>
      <c r="D52" s="508"/>
      <c r="E52" s="508"/>
      <c r="F52" s="508"/>
      <c r="G52" s="627"/>
      <c r="H52" s="627"/>
      <c r="I52" s="627"/>
      <c r="J52" s="627"/>
      <c r="K52" s="627"/>
      <c r="L52" s="627"/>
      <c r="M52" s="627"/>
      <c r="N52" s="645"/>
      <c r="O52" s="508"/>
      <c r="P52" s="508"/>
      <c r="Q52" s="508"/>
      <c r="R52" s="645"/>
      <c r="S52" s="651"/>
      <c r="T52" s="645"/>
      <c r="U52" s="645"/>
      <c r="V52" s="645"/>
      <c r="W52" s="645"/>
      <c r="X52" s="645"/>
      <c r="Y52" s="645"/>
      <c r="Z52" s="645"/>
      <c r="AA52" s="645"/>
      <c r="AB52" s="645"/>
      <c r="AC52" s="645"/>
      <c r="AD52" s="508"/>
      <c r="AE52" s="6"/>
      <c r="AF52" s="6"/>
      <c r="AG52" s="6"/>
      <c r="AH52" s="6"/>
      <c r="AI52" s="6"/>
      <c r="AJ52" s="6"/>
    </row>
    <row r="53" spans="1:36" x14ac:dyDescent="0.2">
      <c r="A53" s="626" t="s">
        <v>169</v>
      </c>
      <c r="B53" s="508"/>
      <c r="C53" s="627"/>
      <c r="D53" s="627"/>
      <c r="E53" s="627"/>
      <c r="F53" s="627"/>
      <c r="G53" s="627"/>
      <c r="H53" s="627"/>
      <c r="I53" s="627"/>
      <c r="J53" s="627"/>
      <c r="K53" s="627"/>
      <c r="L53" s="645"/>
      <c r="M53" s="645"/>
      <c r="N53" s="508"/>
      <c r="O53" s="508"/>
      <c r="P53" s="508"/>
      <c r="Q53" s="508"/>
      <c r="R53" s="645"/>
      <c r="S53" s="651"/>
      <c r="T53" s="645"/>
      <c r="U53" s="645"/>
      <c r="V53" s="645"/>
      <c r="W53" s="645"/>
      <c r="X53" s="645"/>
      <c r="Y53" s="645"/>
      <c r="Z53" s="645"/>
      <c r="AA53" s="645"/>
      <c r="AB53" s="645"/>
      <c r="AC53" s="645"/>
      <c r="AD53" s="508"/>
      <c r="AE53" s="6"/>
      <c r="AF53" s="6"/>
      <c r="AG53" s="6"/>
      <c r="AH53" s="6"/>
      <c r="AI53" s="6"/>
      <c r="AJ53" s="6"/>
    </row>
    <row r="54" spans="1:36" x14ac:dyDescent="0.2">
      <c r="A54" s="656" t="s">
        <v>170</v>
      </c>
      <c r="B54" s="645"/>
      <c r="C54" s="645"/>
      <c r="D54" s="645"/>
      <c r="E54" s="630">
        <f>Datos!K60</f>
        <v>0</v>
      </c>
      <c r="F54" s="626"/>
      <c r="G54" s="626"/>
      <c r="H54" s="626"/>
      <c r="I54" s="508"/>
      <c r="J54" s="645"/>
      <c r="K54" s="645"/>
      <c r="L54" s="508"/>
      <c r="M54" s="629" t="s">
        <v>171</v>
      </c>
      <c r="N54" s="645"/>
      <c r="O54" s="508"/>
      <c r="P54" s="508"/>
      <c r="Q54" s="508"/>
      <c r="R54" s="645"/>
      <c r="S54" s="651"/>
      <c r="T54" s="645"/>
      <c r="U54" s="645"/>
      <c r="V54" s="645"/>
      <c r="W54" s="645"/>
      <c r="X54" s="645"/>
      <c r="Y54" s="645"/>
      <c r="Z54" s="645"/>
      <c r="AA54" s="645"/>
      <c r="AB54" s="645"/>
      <c r="AC54" s="645"/>
      <c r="AD54" s="508"/>
      <c r="AE54" s="6"/>
      <c r="AF54" s="6"/>
      <c r="AG54" s="6"/>
      <c r="AH54" s="6"/>
      <c r="AI54" s="6"/>
      <c r="AJ54" s="6"/>
    </row>
    <row r="55" spans="1:36" x14ac:dyDescent="0.2">
      <c r="A55" s="626" t="s">
        <v>681</v>
      </c>
      <c r="B55" s="645"/>
      <c r="C55" s="645"/>
      <c r="D55" s="645"/>
      <c r="E55" s="645"/>
      <c r="F55" s="645"/>
      <c r="G55" s="645"/>
      <c r="H55" s="645"/>
      <c r="I55" s="508"/>
      <c r="J55" s="645"/>
      <c r="K55" s="645"/>
      <c r="L55" s="645"/>
      <c r="M55" s="645"/>
      <c r="N55" s="627"/>
      <c r="O55" s="508"/>
      <c r="P55" s="508"/>
      <c r="Q55" s="508"/>
      <c r="R55" s="627"/>
      <c r="S55" s="654"/>
      <c r="T55" s="655"/>
      <c r="U55" s="655"/>
      <c r="V55" s="655"/>
      <c r="W55" s="655"/>
      <c r="X55" s="655"/>
      <c r="Y55" s="655"/>
      <c r="Z55" s="655"/>
      <c r="AA55" s="655"/>
      <c r="AB55" s="655"/>
      <c r="AC55" s="645"/>
      <c r="AD55" s="508"/>
      <c r="AE55" s="6"/>
      <c r="AF55" s="6"/>
      <c r="AG55" s="6"/>
      <c r="AH55" s="6"/>
      <c r="AI55" s="6"/>
      <c r="AJ55" s="6"/>
    </row>
    <row r="56" spans="1:36" x14ac:dyDescent="0.2">
      <c r="A56" s="623"/>
      <c r="B56" s="508"/>
      <c r="C56" s="508"/>
      <c r="D56" s="508"/>
      <c r="E56" s="508"/>
      <c r="F56" s="508"/>
      <c r="G56" s="508"/>
      <c r="H56" s="508"/>
      <c r="I56" s="508"/>
      <c r="J56" s="508"/>
      <c r="K56" s="508"/>
      <c r="L56" s="508"/>
      <c r="M56" s="508"/>
      <c r="N56" s="508"/>
      <c r="O56" s="508"/>
      <c r="P56" s="508"/>
      <c r="Q56" s="508"/>
      <c r="R56" s="508"/>
      <c r="S56" s="645"/>
      <c r="T56" s="645"/>
      <c r="U56" s="645"/>
      <c r="V56" s="645"/>
      <c r="W56" s="645"/>
      <c r="X56" s="645"/>
      <c r="Y56" s="645"/>
      <c r="Z56" s="645"/>
      <c r="AA56" s="645"/>
      <c r="AB56" s="645"/>
      <c r="AC56" s="645"/>
      <c r="AD56" s="508"/>
      <c r="AE56" s="6"/>
      <c r="AF56" s="6"/>
      <c r="AG56" s="6"/>
      <c r="AH56" s="6"/>
      <c r="AI56" s="6"/>
      <c r="AJ56" s="6"/>
    </row>
    <row r="57" spans="1:36" x14ac:dyDescent="0.2">
      <c r="A57" s="646"/>
      <c r="B57" s="638" t="s">
        <v>408</v>
      </c>
      <c r="C57" s="645"/>
      <c r="D57" s="645"/>
      <c r="E57" s="645"/>
      <c r="F57" s="645"/>
      <c r="G57" s="645"/>
      <c r="H57" s="645"/>
      <c r="I57" s="645"/>
      <c r="J57" s="627"/>
      <c r="K57" s="645"/>
      <c r="L57" s="645"/>
      <c r="M57" s="645"/>
      <c r="N57" s="645"/>
      <c r="O57" s="645"/>
      <c r="P57" s="645"/>
      <c r="Q57" s="645"/>
      <c r="R57" s="645"/>
      <c r="S57" s="645"/>
      <c r="T57" s="645"/>
      <c r="U57" s="645"/>
      <c r="V57" s="645"/>
      <c r="W57" s="645"/>
      <c r="X57" s="645"/>
      <c r="Y57" s="645"/>
      <c r="Z57" s="645"/>
      <c r="AA57" s="645"/>
      <c r="AB57" s="645"/>
      <c r="AC57" s="508"/>
      <c r="AD57" s="508"/>
      <c r="AE57" s="6"/>
      <c r="AF57" s="6"/>
      <c r="AG57" s="6"/>
      <c r="AH57" s="6"/>
      <c r="AI57" s="6"/>
      <c r="AJ57" s="6"/>
    </row>
    <row r="58" spans="1:36" x14ac:dyDescent="0.2">
      <c r="A58" s="626" t="s">
        <v>409</v>
      </c>
      <c r="B58" s="645"/>
      <c r="C58" s="645"/>
      <c r="D58" s="233"/>
      <c r="E58" s="626"/>
      <c r="F58" s="626"/>
      <c r="G58" s="1245">
        <f>Datos!K59</f>
        <v>0</v>
      </c>
      <c r="H58" s="1245"/>
      <c r="I58" s="1245"/>
      <c r="J58" s="1245"/>
      <c r="K58" s="627"/>
      <c r="L58" s="627"/>
      <c r="M58" s="627"/>
      <c r="N58" s="627"/>
      <c r="O58" s="627"/>
      <c r="P58" s="645"/>
      <c r="Q58" s="645"/>
      <c r="R58" s="645"/>
      <c r="S58" s="645"/>
      <c r="T58" s="645"/>
      <c r="U58" s="645"/>
      <c r="V58" s="645"/>
      <c r="W58" s="645"/>
      <c r="X58" s="645"/>
      <c r="Y58" s="645"/>
      <c r="Z58" s="645"/>
      <c r="AA58" s="645"/>
      <c r="AB58" s="645"/>
      <c r="AC58" s="508"/>
      <c r="AD58" s="508"/>
      <c r="AE58" s="6"/>
      <c r="AF58" s="6"/>
      <c r="AG58" s="6"/>
      <c r="AH58" s="6"/>
      <c r="AI58" s="6"/>
      <c r="AJ58" s="6"/>
    </row>
    <row r="59" spans="1:36" x14ac:dyDescent="0.2">
      <c r="A59" s="623"/>
      <c r="B59" s="508"/>
      <c r="C59" s="508"/>
      <c r="D59" s="508"/>
      <c r="E59" s="508"/>
      <c r="F59" s="508"/>
      <c r="G59" s="508"/>
      <c r="H59" s="627"/>
      <c r="I59" s="627"/>
      <c r="J59" s="627"/>
      <c r="K59" s="627"/>
      <c r="L59" s="627"/>
      <c r="M59" s="627"/>
      <c r="N59" s="627"/>
      <c r="O59" s="627"/>
      <c r="P59" s="645"/>
      <c r="Q59" s="645"/>
      <c r="R59" s="645"/>
      <c r="S59" s="645"/>
      <c r="T59" s="645"/>
      <c r="U59" s="645"/>
      <c r="V59" s="645"/>
      <c r="W59" s="645"/>
      <c r="X59" s="645"/>
      <c r="Y59" s="645"/>
      <c r="Z59" s="645"/>
      <c r="AA59" s="645"/>
      <c r="AB59" s="645"/>
      <c r="AC59" s="508"/>
      <c r="AD59" s="508"/>
      <c r="AE59" s="6"/>
      <c r="AF59" s="6"/>
      <c r="AG59" s="6"/>
      <c r="AH59" s="6"/>
      <c r="AI59" s="6"/>
      <c r="AJ59" s="6"/>
    </row>
    <row r="60" spans="1:36" x14ac:dyDescent="0.2">
      <c r="A60" s="646"/>
      <c r="B60" s="508"/>
      <c r="C60" s="645"/>
      <c r="D60" s="645"/>
      <c r="E60" s="645"/>
      <c r="F60" s="627"/>
      <c r="G60" s="627"/>
      <c r="H60" s="627"/>
      <c r="I60" s="627"/>
      <c r="J60" s="627"/>
      <c r="K60" s="645"/>
      <c r="L60" s="627"/>
      <c r="M60" s="627"/>
      <c r="N60" s="627"/>
      <c r="O60" s="627"/>
      <c r="P60" s="645"/>
      <c r="Q60" s="645"/>
      <c r="R60" s="645"/>
      <c r="S60" s="645"/>
      <c r="T60" s="645"/>
      <c r="U60" s="645"/>
      <c r="V60" s="645"/>
      <c r="W60" s="645"/>
      <c r="X60" s="645"/>
      <c r="Y60" s="645"/>
      <c r="Z60" s="645"/>
      <c r="AA60" s="645"/>
      <c r="AB60" s="645"/>
      <c r="AC60" s="508"/>
      <c r="AD60" s="508"/>
      <c r="AE60" s="6"/>
      <c r="AF60" s="6"/>
      <c r="AG60" s="6"/>
      <c r="AH60" s="6"/>
      <c r="AI60" s="6"/>
      <c r="AJ60" s="6"/>
    </row>
    <row r="61" spans="1:36" x14ac:dyDescent="0.2">
      <c r="A61" s="623"/>
      <c r="B61" s="645"/>
      <c r="C61" s="645"/>
      <c r="D61" s="645"/>
      <c r="E61" s="645"/>
      <c r="F61" s="645"/>
      <c r="G61" s="645"/>
      <c r="H61" s="645"/>
      <c r="I61" s="627"/>
      <c r="J61" s="627"/>
      <c r="K61" s="645"/>
      <c r="L61" s="627"/>
      <c r="M61" s="627"/>
      <c r="N61" s="627"/>
      <c r="O61" s="627"/>
      <c r="P61" s="645"/>
      <c r="Q61" s="645"/>
      <c r="R61" s="645"/>
      <c r="S61" s="645"/>
      <c r="T61" s="645"/>
      <c r="U61" s="645"/>
      <c r="V61" s="645"/>
      <c r="W61" s="645"/>
      <c r="X61" s="645"/>
      <c r="Y61" s="645"/>
      <c r="Z61" s="645"/>
      <c r="AA61" s="645"/>
      <c r="AB61" s="645"/>
      <c r="AC61" s="508"/>
      <c r="AD61" s="508"/>
      <c r="AE61" s="6"/>
      <c r="AF61" s="6"/>
      <c r="AG61" s="6"/>
      <c r="AH61" s="6"/>
      <c r="AI61" s="6"/>
      <c r="AJ61" s="6"/>
    </row>
    <row r="62" spans="1:36" x14ac:dyDescent="0.2">
      <c r="A62" s="623"/>
      <c r="B62" s="508"/>
      <c r="C62" s="645"/>
      <c r="D62" s="645"/>
      <c r="E62" s="645"/>
      <c r="F62" s="645"/>
      <c r="G62" s="645"/>
      <c r="H62" s="645"/>
      <c r="I62" s="627"/>
      <c r="J62" s="627"/>
      <c r="K62" s="645"/>
      <c r="L62" s="627"/>
      <c r="M62" s="627"/>
      <c r="N62" s="627"/>
      <c r="O62" s="627"/>
      <c r="P62" s="645"/>
      <c r="Q62" s="645"/>
      <c r="R62" s="645"/>
      <c r="S62" s="645"/>
      <c r="T62" s="645"/>
      <c r="U62" s="645"/>
      <c r="V62" s="645"/>
      <c r="W62" s="645"/>
      <c r="X62" s="645"/>
      <c r="Y62" s="645"/>
      <c r="Z62" s="645"/>
      <c r="AA62" s="645"/>
      <c r="AB62" s="645"/>
      <c r="AC62" s="508"/>
      <c r="AD62" s="508"/>
      <c r="AE62" s="6"/>
      <c r="AF62" s="6"/>
      <c r="AG62" s="6"/>
      <c r="AH62" s="6"/>
      <c r="AI62" s="6"/>
      <c r="AJ62" s="6"/>
    </row>
    <row r="63" spans="1:36" x14ac:dyDescent="0.2">
      <c r="A63" s="623"/>
      <c r="B63" s="508"/>
      <c r="C63" s="645"/>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508"/>
      <c r="AD63" s="508"/>
      <c r="AE63" s="6"/>
      <c r="AF63" s="6"/>
      <c r="AG63" s="6"/>
      <c r="AH63" s="6"/>
      <c r="AI63" s="6"/>
      <c r="AJ63" s="6"/>
    </row>
    <row r="64" spans="1:36" x14ac:dyDescent="0.2">
      <c r="A64" s="626"/>
      <c r="B64" s="645"/>
      <c r="C64" s="645"/>
      <c r="D64" s="645"/>
      <c r="E64" s="655"/>
      <c r="F64" s="657"/>
      <c r="G64" s="655"/>
      <c r="H64" s="655"/>
      <c r="I64" s="655"/>
      <c r="J64" s="657"/>
      <c r="K64" s="655"/>
      <c r="L64" s="655"/>
      <c r="M64" s="655"/>
      <c r="N64" s="645"/>
      <c r="O64" s="645"/>
      <c r="P64" s="645"/>
      <c r="Q64" s="655"/>
      <c r="R64" s="655"/>
      <c r="S64" s="655"/>
      <c r="T64" s="597"/>
      <c r="U64" s="597"/>
      <c r="V64" s="655"/>
      <c r="W64" s="655"/>
      <c r="X64" s="655"/>
      <c r="Y64" s="655"/>
      <c r="Z64" s="645"/>
      <c r="AA64" s="645"/>
      <c r="AB64" s="645"/>
      <c r="AC64" s="508"/>
      <c r="AD64" s="508"/>
      <c r="AE64" s="6"/>
      <c r="AF64" s="6"/>
      <c r="AG64" s="6"/>
      <c r="AH64" s="6"/>
      <c r="AI64" s="6"/>
      <c r="AJ64" s="6"/>
    </row>
    <row r="65" spans="1:36" x14ac:dyDescent="0.2">
      <c r="A65" s="623"/>
      <c r="B65" s="508"/>
      <c r="C65" s="508"/>
      <c r="D65" s="508"/>
      <c r="E65" s="645"/>
      <c r="F65" s="645"/>
      <c r="G65" s="645"/>
      <c r="H65" s="645"/>
      <c r="I65" s="636" t="s">
        <v>160</v>
      </c>
      <c r="J65" s="627"/>
      <c r="K65" s="645"/>
      <c r="L65" s="645"/>
      <c r="M65" s="645"/>
      <c r="N65" s="645"/>
      <c r="O65" s="645"/>
      <c r="P65" s="645"/>
      <c r="Q65" s="645"/>
      <c r="R65" s="645"/>
      <c r="S65" s="645"/>
      <c r="T65" s="645"/>
      <c r="U65" s="636" t="s">
        <v>161</v>
      </c>
      <c r="V65" s="645"/>
      <c r="W65" s="645"/>
      <c r="X65" s="645"/>
      <c r="Y65" s="645"/>
      <c r="Z65" s="645"/>
      <c r="AA65" s="645"/>
      <c r="AB65" s="645"/>
      <c r="AC65" s="508"/>
      <c r="AD65" s="508"/>
      <c r="AE65" s="6"/>
      <c r="AF65" s="6"/>
      <c r="AG65" s="6"/>
      <c r="AH65" s="6"/>
      <c r="AI65" s="6"/>
      <c r="AJ65" s="6"/>
    </row>
    <row r="66" spans="1:36" x14ac:dyDescent="0.2">
      <c r="A66" s="646"/>
      <c r="B66" s="645"/>
      <c r="C66" s="645"/>
      <c r="D66" s="508"/>
      <c r="E66" s="1242">
        <f>Datos!K29</f>
        <v>0</v>
      </c>
      <c r="F66" s="1242"/>
      <c r="G66" s="1242"/>
      <c r="H66" s="1242"/>
      <c r="I66" s="1242"/>
      <c r="J66" s="1242"/>
      <c r="K66" s="1242"/>
      <c r="L66" s="1242"/>
      <c r="M66" s="1242"/>
      <c r="N66" s="645"/>
      <c r="O66" s="645"/>
      <c r="P66" s="645"/>
      <c r="Q66" s="1241">
        <f>Datos!K18</f>
        <v>0</v>
      </c>
      <c r="R66" s="1241"/>
      <c r="S66" s="1241"/>
      <c r="T66" s="1241"/>
      <c r="U66" s="1241"/>
      <c r="V66" s="1241"/>
      <c r="W66" s="1241"/>
      <c r="X66" s="1241"/>
      <c r="Y66" s="645"/>
      <c r="Z66" s="645"/>
      <c r="AA66" s="645"/>
      <c r="AB66" s="645"/>
      <c r="AC66" s="508"/>
      <c r="AD66" s="508"/>
      <c r="AE66" s="6"/>
      <c r="AF66" s="6"/>
      <c r="AG66" s="6"/>
      <c r="AH66" s="6"/>
      <c r="AI66" s="6"/>
      <c r="AJ66" s="6"/>
    </row>
    <row r="67" spans="1:36" x14ac:dyDescent="0.2">
      <c r="A67" s="623"/>
      <c r="B67" s="508"/>
      <c r="C67" s="508"/>
      <c r="D67" s="508"/>
      <c r="E67" s="508"/>
      <c r="F67" s="508"/>
      <c r="G67" s="658" t="s">
        <v>317</v>
      </c>
      <c r="H67" s="508"/>
      <c r="I67" s="508"/>
      <c r="J67" s="659">
        <f>Datos!K31</f>
        <v>0</v>
      </c>
      <c r="K67" s="508"/>
      <c r="L67" s="508"/>
      <c r="M67" s="508"/>
      <c r="N67" s="508"/>
      <c r="O67" s="508"/>
      <c r="P67" s="508"/>
      <c r="Q67" s="508"/>
      <c r="R67" s="508"/>
      <c r="S67" s="660" t="s">
        <v>182</v>
      </c>
      <c r="T67" s="508"/>
      <c r="U67" s="508"/>
      <c r="V67" s="659">
        <f>Datos!K25</f>
        <v>0</v>
      </c>
      <c r="W67" s="508"/>
      <c r="X67" s="508"/>
      <c r="Y67" s="508"/>
      <c r="Z67" s="508"/>
      <c r="AA67" s="508"/>
      <c r="AB67" s="508"/>
      <c r="AC67" s="508"/>
      <c r="AD67" s="508"/>
      <c r="AE67" s="6"/>
      <c r="AF67" s="6"/>
      <c r="AG67" s="6"/>
      <c r="AH67" s="6"/>
      <c r="AI67" s="6"/>
      <c r="AJ67" s="6"/>
    </row>
    <row r="68" spans="1:36" x14ac:dyDescent="0.2">
      <c r="A68" s="623"/>
      <c r="B68" s="508"/>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6"/>
      <c r="AF68" s="6"/>
      <c r="AG68" s="6"/>
      <c r="AH68" s="6"/>
      <c r="AI68" s="6"/>
      <c r="AJ68" s="6"/>
    </row>
    <row r="69" spans="1:36" x14ac:dyDescent="0.2">
      <c r="A69" s="623"/>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6"/>
      <c r="AF69" s="6"/>
      <c r="AG69" s="6"/>
      <c r="AH69" s="6"/>
      <c r="AI69" s="6"/>
      <c r="AJ69" s="6"/>
    </row>
    <row r="70" spans="1:36" x14ac:dyDescent="0.2">
      <c r="A70" s="623"/>
      <c r="B70" s="508"/>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6"/>
      <c r="AF70" s="6"/>
      <c r="AG70" s="6"/>
      <c r="AH70" s="6"/>
      <c r="AI70" s="6"/>
      <c r="AJ70" s="6"/>
    </row>
    <row r="71" spans="1:36" x14ac:dyDescent="0.2">
      <c r="A71" s="623"/>
      <c r="B71" s="508"/>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6"/>
      <c r="AF71" s="6"/>
      <c r="AG71" s="6"/>
      <c r="AH71" s="6"/>
      <c r="AI71" s="6"/>
      <c r="AJ71" s="6"/>
    </row>
    <row r="72" spans="1:36" x14ac:dyDescent="0.2">
      <c r="A72" s="20"/>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row>
    <row r="73" spans="1:36" x14ac:dyDescent="0.2">
      <c r="A73" s="20"/>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row>
    <row r="74" spans="1:36" x14ac:dyDescent="0.2">
      <c r="A74" s="20"/>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row>
    <row r="75" spans="1:36" x14ac:dyDescent="0.2">
      <c r="A75" s="20"/>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6" x14ac:dyDescent="0.2">
      <c r="A76" s="20"/>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row>
    <row r="77" spans="1:36" x14ac:dyDescent="0.2">
      <c r="A77" s="20"/>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row>
    <row r="78" spans="1:36" x14ac:dyDescent="0.2">
      <c r="A78" s="20"/>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row>
    <row r="79" spans="1:36" x14ac:dyDescent="0.2">
      <c r="A79" s="20"/>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row>
    <row r="80" spans="1:36" x14ac:dyDescent="0.2">
      <c r="A80" s="20"/>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row>
    <row r="81" spans="1:36" x14ac:dyDescent="0.2">
      <c r="A81" s="20"/>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row>
    <row r="82" spans="1:36" x14ac:dyDescent="0.2">
      <c r="A82" s="20"/>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x14ac:dyDescent="0.2">
      <c r="A83" s="20"/>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1:36" x14ac:dyDescent="0.2">
      <c r="A84" s="20"/>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x14ac:dyDescent="0.2">
      <c r="A85" s="20"/>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x14ac:dyDescent="0.2">
      <c r="A86" s="20"/>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1:36" x14ac:dyDescent="0.2">
      <c r="A87" s="20"/>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x14ac:dyDescent="0.2">
      <c r="A88" s="20"/>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x14ac:dyDescent="0.2">
      <c r="A89" s="20"/>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1:36" x14ac:dyDescent="0.2">
      <c r="A90" s="20"/>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6" x14ac:dyDescent="0.2">
      <c r="A91" s="20"/>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row>
    <row r="92" spans="1:36" x14ac:dyDescent="0.2">
      <c r="A92" s="20"/>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x14ac:dyDescent="0.2">
      <c r="A93" s="20"/>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x14ac:dyDescent="0.2">
      <c r="A94" s="20"/>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x14ac:dyDescent="0.2">
      <c r="A95" s="20"/>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sheetData>
  <sheetProtection password="F696" sheet="1" objects="1" scenarios="1"/>
  <customSheetViews>
    <customSheetView guid="{3DA56FC4-53DE-48E1-9C8B-99A7C6BEC59A}" showRuler="0">
      <selection activeCell="AB1" sqref="AB1"/>
      <pageMargins left="0.98425196850393704" right="0.59055118110236227" top="0.69" bottom="0.78740157480314965" header="0" footer="0"/>
      <pageSetup paperSize="5" scale="96" orientation="portrait" horizontalDpi="300" verticalDpi="0" r:id="rId1"/>
      <headerFooter alignWithMargins="0"/>
    </customSheetView>
    <customSheetView guid="{3055A696-E36D-42C0-8DEA-BCF75BC71F7B}" topLeftCell="A19">
      <selection activeCell="B46" sqref="B46"/>
      <pageMargins left="0.98425196850393704" right="0.59055118110236227" top="0.69" bottom="0.78740157480314965" header="0" footer="0"/>
      <pageSetup paperSize="5" scale="96" orientation="portrait" horizontalDpi="300" verticalDpi="1200" r:id="rId2"/>
      <headerFooter alignWithMargins="0"/>
    </customSheetView>
  </customSheetViews>
  <mergeCells count="42">
    <mergeCell ref="X6:Z6"/>
    <mergeCell ref="Y21:AB21"/>
    <mergeCell ref="L10:O10"/>
    <mergeCell ref="H1:U1"/>
    <mergeCell ref="H2:U2"/>
    <mergeCell ref="H3:U3"/>
    <mergeCell ref="U16:Z16"/>
    <mergeCell ref="K9:Q9"/>
    <mergeCell ref="V8:X8"/>
    <mergeCell ref="X10:AB10"/>
    <mergeCell ref="L4:Q4"/>
    <mergeCell ref="E6:J6"/>
    <mergeCell ref="M6:Q6"/>
    <mergeCell ref="R6:S6"/>
    <mergeCell ref="G7:H7"/>
    <mergeCell ref="J5:S5"/>
    <mergeCell ref="J10:K10"/>
    <mergeCell ref="P10:W10"/>
    <mergeCell ref="A10:I10"/>
    <mergeCell ref="P16:T16"/>
    <mergeCell ref="A7:E7"/>
    <mergeCell ref="M7:Y7"/>
    <mergeCell ref="A8:C8"/>
    <mergeCell ref="A9:G9"/>
    <mergeCell ref="H11:M11"/>
    <mergeCell ref="K8:T8"/>
    <mergeCell ref="Z12:AA12"/>
    <mergeCell ref="F31:J31"/>
    <mergeCell ref="N16:O16"/>
    <mergeCell ref="H16:L16"/>
    <mergeCell ref="Q11:V11"/>
    <mergeCell ref="A12:G12"/>
    <mergeCell ref="A27:L27"/>
    <mergeCell ref="O15:AB15"/>
    <mergeCell ref="F26:V26"/>
    <mergeCell ref="K31:L31"/>
    <mergeCell ref="Q66:X66"/>
    <mergeCell ref="E66:M66"/>
    <mergeCell ref="C21:W21"/>
    <mergeCell ref="W25:Z25"/>
    <mergeCell ref="C25:V25"/>
    <mergeCell ref="G58:J58"/>
  </mergeCells>
  <phoneticPr fontId="20" type="noConversion"/>
  <pageMargins left="0.98425196850393704" right="0.59055118110236227" top="0.69" bottom="0.78740157480314965" header="0" footer="0"/>
  <pageSetup paperSize="5" scale="96" orientation="portrait" horizontalDpi="300" verticalDpi="12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indexed="43"/>
  </sheetPr>
  <dimension ref="A1:AJ98"/>
  <sheetViews>
    <sheetView topLeftCell="A13" workbookViewId="0">
      <selection activeCell="L50" sqref="L50"/>
    </sheetView>
  </sheetViews>
  <sheetFormatPr baseColWidth="10" defaultRowHeight="12.75" x14ac:dyDescent="0.2"/>
  <cols>
    <col min="1" max="1" width="3.5703125" customWidth="1"/>
    <col min="2" max="2" width="2.140625" customWidth="1"/>
    <col min="3" max="3" width="3.140625" customWidth="1"/>
    <col min="4" max="4" width="2.7109375" customWidth="1"/>
    <col min="5" max="6" width="2.42578125" customWidth="1"/>
    <col min="7" max="7" width="4" customWidth="1"/>
    <col min="8" max="8" width="3.28515625" customWidth="1"/>
    <col min="9" max="9" width="2.7109375" customWidth="1"/>
    <col min="10" max="10" width="5.85546875" customWidth="1"/>
    <col min="11" max="11" width="2.85546875" customWidth="1"/>
    <col min="12" max="12" width="3" customWidth="1"/>
    <col min="13" max="13" width="2" customWidth="1"/>
    <col min="14" max="14" width="3" customWidth="1"/>
    <col min="15" max="15" width="2.85546875" customWidth="1"/>
    <col min="16" max="16" width="3.5703125" customWidth="1"/>
    <col min="17" max="17" width="2.7109375" customWidth="1"/>
    <col min="18" max="18" width="3.42578125" customWidth="1"/>
    <col min="19" max="19" width="3.28515625" customWidth="1"/>
    <col min="20" max="20" width="2.7109375" customWidth="1"/>
    <col min="21" max="21" width="2.42578125" customWidth="1"/>
    <col min="22" max="22" width="2.28515625" customWidth="1"/>
    <col min="23" max="23" width="5" customWidth="1"/>
    <col min="24" max="24" width="2.85546875" customWidth="1"/>
    <col min="25" max="25" width="3" customWidth="1"/>
    <col min="26" max="27" width="3.42578125" customWidth="1"/>
    <col min="28" max="28" width="4.85546875" customWidth="1"/>
    <col min="29" max="29" width="5.42578125" customWidth="1"/>
  </cols>
  <sheetData>
    <row r="1" spans="1:36" ht="14.25" x14ac:dyDescent="0.2">
      <c r="A1" s="622"/>
      <c r="B1" s="622"/>
      <c r="C1" s="622"/>
      <c r="D1" s="622"/>
      <c r="E1" s="622"/>
      <c r="F1" s="622"/>
      <c r="G1" s="622"/>
      <c r="H1" s="1259"/>
      <c r="I1" s="1259"/>
      <c r="J1" s="1259"/>
      <c r="K1" s="1259"/>
      <c r="L1" s="1259"/>
      <c r="M1" s="1259"/>
      <c r="N1" s="1259"/>
      <c r="O1" s="1259"/>
      <c r="P1" s="1259"/>
      <c r="Q1" s="1259"/>
      <c r="R1" s="1259"/>
      <c r="S1" s="1259"/>
      <c r="T1" s="1259"/>
      <c r="U1" s="508"/>
      <c r="V1" s="508"/>
      <c r="W1" s="508"/>
      <c r="X1" s="508"/>
      <c r="Y1" s="508"/>
      <c r="Z1" s="508"/>
      <c r="AA1" s="508"/>
      <c r="AB1" s="661"/>
      <c r="AC1" s="233"/>
      <c r="AD1" s="6"/>
      <c r="AE1" s="6"/>
      <c r="AF1" s="6"/>
      <c r="AG1" s="6"/>
      <c r="AH1" s="6"/>
      <c r="AI1" s="6"/>
      <c r="AJ1" s="6"/>
    </row>
    <row r="2" spans="1:36" ht="14.25" customHeight="1" x14ac:dyDescent="0.2">
      <c r="A2" s="508"/>
      <c r="B2" s="508"/>
      <c r="C2" s="508"/>
      <c r="D2" s="508"/>
      <c r="E2" s="508"/>
      <c r="F2" s="508"/>
      <c r="G2" s="508"/>
      <c r="H2" s="1259"/>
      <c r="I2" s="1259"/>
      <c r="J2" s="1259"/>
      <c r="K2" s="1259"/>
      <c r="L2" s="1259"/>
      <c r="M2" s="1259"/>
      <c r="N2" s="1259"/>
      <c r="O2" s="1259"/>
      <c r="P2" s="1259"/>
      <c r="Q2" s="1259"/>
      <c r="R2" s="1259"/>
      <c r="S2" s="1259"/>
      <c r="T2" s="1259"/>
      <c r="U2" s="508"/>
      <c r="V2" s="508"/>
      <c r="W2" s="508"/>
      <c r="X2" s="508"/>
      <c r="Y2" s="508"/>
      <c r="Z2" s="508"/>
      <c r="AA2" s="508"/>
      <c r="AB2" s="652"/>
      <c r="AC2" s="508"/>
      <c r="AD2" s="6"/>
      <c r="AE2" s="6"/>
      <c r="AF2" s="6"/>
      <c r="AG2" s="6"/>
      <c r="AH2" s="6"/>
      <c r="AI2" s="6"/>
      <c r="AJ2" s="6"/>
    </row>
    <row r="3" spans="1:36" ht="12.75" customHeight="1" x14ac:dyDescent="0.2">
      <c r="A3" s="508"/>
      <c r="B3" s="508"/>
      <c r="C3" s="508"/>
      <c r="D3" s="508"/>
      <c r="E3" s="508"/>
      <c r="F3" s="508"/>
      <c r="G3" s="233"/>
      <c r="H3" s="1260"/>
      <c r="I3" s="1260"/>
      <c r="J3" s="1260"/>
      <c r="K3" s="1260"/>
      <c r="L3" s="1260"/>
      <c r="M3" s="1260"/>
      <c r="N3" s="1260"/>
      <c r="O3" s="1260"/>
      <c r="P3" s="1260"/>
      <c r="Q3" s="1260"/>
      <c r="R3" s="1260"/>
      <c r="S3" s="1260"/>
      <c r="T3" s="1260"/>
      <c r="U3" s="508"/>
      <c r="V3" s="508"/>
      <c r="W3" s="508"/>
      <c r="X3" s="508"/>
      <c r="Y3" s="508"/>
      <c r="Z3" s="508"/>
      <c r="AA3" s="508"/>
      <c r="AB3" s="508"/>
      <c r="AC3" s="508"/>
      <c r="AD3" s="6"/>
      <c r="AE3" s="6"/>
      <c r="AF3" s="6"/>
      <c r="AG3" s="6"/>
      <c r="AH3" s="6"/>
      <c r="AI3" s="6"/>
      <c r="AJ3" s="6"/>
    </row>
    <row r="4" spans="1:36" x14ac:dyDescent="0.2">
      <c r="A4" s="622"/>
      <c r="B4" s="624"/>
      <c r="C4" s="508"/>
      <c r="D4" s="622"/>
      <c r="E4" s="508"/>
      <c r="F4" s="625"/>
      <c r="G4" s="508"/>
      <c r="H4" s="508"/>
      <c r="I4" s="508"/>
      <c r="J4" s="508"/>
      <c r="K4" s="508"/>
      <c r="L4" s="1242"/>
      <c r="M4" s="1242"/>
      <c r="N4" s="1261"/>
      <c r="O4" s="1242"/>
      <c r="P4" s="1242"/>
      <c r="Q4" s="1242"/>
      <c r="R4" s="1242"/>
      <c r="S4" s="1242"/>
      <c r="T4" s="1261"/>
      <c r="U4" s="1242"/>
      <c r="V4" s="1242"/>
      <c r="W4" s="1242"/>
      <c r="X4" s="508"/>
      <c r="Y4" s="508"/>
      <c r="Z4" s="508"/>
      <c r="AA4" s="508"/>
      <c r="AB4" s="508"/>
      <c r="AC4" s="508"/>
      <c r="AD4" s="6"/>
      <c r="AE4" s="6"/>
      <c r="AF4" s="6"/>
      <c r="AG4" s="6"/>
      <c r="AH4" s="6"/>
      <c r="AI4" s="6"/>
      <c r="AJ4" s="6"/>
    </row>
    <row r="5" spans="1:36" x14ac:dyDescent="0.2">
      <c r="A5" s="508"/>
      <c r="B5" s="508"/>
      <c r="C5" s="508"/>
      <c r="D5" s="508"/>
      <c r="E5" s="508"/>
      <c r="F5" s="508"/>
      <c r="G5" s="508"/>
      <c r="H5" s="627"/>
      <c r="I5" s="627"/>
      <c r="J5" s="1276"/>
      <c r="K5" s="1276"/>
      <c r="L5" s="1276"/>
      <c r="M5" s="1276"/>
      <c r="N5" s="1276"/>
      <c r="O5" s="1276"/>
      <c r="P5" s="1276"/>
      <c r="Q5" s="1276"/>
      <c r="R5" s="1276"/>
      <c r="S5" s="508"/>
      <c r="T5" s="508"/>
      <c r="U5" s="508"/>
      <c r="V5" s="508"/>
      <c r="W5" s="508"/>
      <c r="X5" s="508"/>
      <c r="Y5" s="508"/>
      <c r="Z5" s="508"/>
      <c r="AA5" s="508"/>
      <c r="AB5" s="508"/>
      <c r="AC5" s="508"/>
      <c r="AD5" s="6"/>
      <c r="AE5" s="6"/>
      <c r="AF5" s="6"/>
      <c r="AG5" s="6"/>
      <c r="AH5" s="6"/>
      <c r="AI5" s="6"/>
      <c r="AJ5" s="6"/>
    </row>
    <row r="6" spans="1:36" x14ac:dyDescent="0.2">
      <c r="A6" s="627" t="s">
        <v>141</v>
      </c>
      <c r="B6" s="627"/>
      <c r="C6" s="627"/>
      <c r="D6" s="627"/>
      <c r="E6" s="233"/>
      <c r="F6" s="628">
        <f>Datos!K37</f>
        <v>0</v>
      </c>
      <c r="G6" s="508"/>
      <c r="H6" s="508"/>
      <c r="I6" s="508"/>
      <c r="J6" s="233"/>
      <c r="K6" s="627" t="s">
        <v>142</v>
      </c>
      <c r="L6" s="627"/>
      <c r="M6" s="1257">
        <f>Datos!K38</f>
        <v>0</v>
      </c>
      <c r="N6" s="1257"/>
      <c r="O6" s="1257"/>
      <c r="P6" s="1257"/>
      <c r="Q6" s="1257"/>
      <c r="R6" s="1257"/>
      <c r="S6" s="1262">
        <f>Datos!K39</f>
        <v>0</v>
      </c>
      <c r="T6" s="1262"/>
      <c r="U6" s="627" t="s">
        <v>143</v>
      </c>
      <c r="V6" s="627"/>
      <c r="W6" s="627"/>
      <c r="X6" s="1257">
        <f>Datos!K40</f>
        <v>0</v>
      </c>
      <c r="Y6" s="1257"/>
      <c r="Z6" s="1257"/>
      <c r="AA6" s="627"/>
      <c r="AB6" s="629" t="s">
        <v>144</v>
      </c>
      <c r="AC6" s="627"/>
      <c r="AD6" s="6"/>
      <c r="AE6" s="6"/>
      <c r="AF6" s="6"/>
      <c r="AG6" s="6"/>
      <c r="AH6" s="6"/>
      <c r="AI6" s="6"/>
      <c r="AJ6" s="6"/>
    </row>
    <row r="7" spans="1:36" x14ac:dyDescent="0.2">
      <c r="A7" s="1250">
        <f>Datos!K41</f>
        <v>0</v>
      </c>
      <c r="B7" s="1250"/>
      <c r="C7" s="1250"/>
      <c r="D7" s="1250"/>
      <c r="E7" s="1250"/>
      <c r="F7" s="1250"/>
      <c r="G7" s="1262">
        <f>Datos!K42</f>
        <v>0</v>
      </c>
      <c r="H7" s="1262"/>
      <c r="I7" s="627" t="s">
        <v>162</v>
      </c>
      <c r="J7" s="627"/>
      <c r="K7" s="627"/>
      <c r="L7" s="627"/>
      <c r="M7" s="1267">
        <f>Datos!K29</f>
        <v>0</v>
      </c>
      <c r="N7" s="1267"/>
      <c r="O7" s="1267"/>
      <c r="P7" s="1267"/>
      <c r="Q7" s="1267"/>
      <c r="R7" s="1267"/>
      <c r="S7" s="1267"/>
      <c r="T7" s="1267"/>
      <c r="U7" s="1267"/>
      <c r="V7" s="1267"/>
      <c r="W7" s="1267"/>
      <c r="X7" s="1267"/>
      <c r="Y7" s="1267"/>
      <c r="Z7" s="1267"/>
      <c r="AA7" s="627" t="s">
        <v>180</v>
      </c>
      <c r="AB7" s="508"/>
      <c r="AC7" s="627"/>
      <c r="AD7" s="6"/>
      <c r="AE7" s="6"/>
      <c r="AF7" s="6"/>
      <c r="AG7" s="6"/>
      <c r="AH7" s="6"/>
      <c r="AI7" s="6"/>
      <c r="AJ7" s="6"/>
    </row>
    <row r="8" spans="1:36" x14ac:dyDescent="0.2">
      <c r="A8" s="1265">
        <f>Datos!K30</f>
        <v>0</v>
      </c>
      <c r="B8" s="1265"/>
      <c r="C8" s="1265"/>
      <c r="D8" s="627" t="s">
        <v>147</v>
      </c>
      <c r="E8" s="627"/>
      <c r="F8" s="627"/>
      <c r="G8" s="629"/>
      <c r="H8" s="627"/>
      <c r="I8" s="627"/>
      <c r="J8" s="627"/>
      <c r="K8" s="1257">
        <f>Datos!K32</f>
        <v>0</v>
      </c>
      <c r="L8" s="1257"/>
      <c r="M8" s="1257"/>
      <c r="N8" s="1257"/>
      <c r="O8" s="1257"/>
      <c r="P8" s="1257"/>
      <c r="Q8" s="1257"/>
      <c r="R8" s="1257"/>
      <c r="S8" s="1257"/>
      <c r="T8" s="1257"/>
      <c r="U8" s="627" t="s">
        <v>35</v>
      </c>
      <c r="V8" s="1268">
        <f>Datos!K33</f>
        <v>0</v>
      </c>
      <c r="W8" s="1268"/>
      <c r="X8" s="662"/>
      <c r="Y8" s="627"/>
      <c r="Z8" s="627"/>
      <c r="AA8" s="627"/>
      <c r="AB8" s="629" t="s">
        <v>145</v>
      </c>
      <c r="AC8" s="627"/>
      <c r="AD8" s="6"/>
      <c r="AE8" s="6"/>
      <c r="AF8" s="6"/>
      <c r="AG8" s="6"/>
      <c r="AH8" s="6"/>
      <c r="AI8" s="6"/>
      <c r="AJ8" s="6"/>
    </row>
    <row r="9" spans="1:36" x14ac:dyDescent="0.2">
      <c r="A9" s="1257">
        <f>Datos!K34</f>
        <v>0</v>
      </c>
      <c r="B9" s="1257"/>
      <c r="C9" s="1257"/>
      <c r="D9" s="1257"/>
      <c r="E9" s="1257"/>
      <c r="F9" s="1257"/>
      <c r="G9" s="1257"/>
      <c r="H9" s="627" t="s">
        <v>148</v>
      </c>
      <c r="I9" s="627"/>
      <c r="J9" s="627"/>
      <c r="K9" s="1245">
        <f>Datos!K35</f>
        <v>0</v>
      </c>
      <c r="L9" s="1245"/>
      <c r="M9" s="1245"/>
      <c r="N9" s="1245"/>
      <c r="O9" s="1245"/>
      <c r="P9" s="1245"/>
      <c r="Q9" s="1245"/>
      <c r="R9" s="627"/>
      <c r="S9" s="627"/>
      <c r="T9" s="627"/>
      <c r="U9" s="627"/>
      <c r="V9" s="627"/>
      <c r="W9" s="627"/>
      <c r="X9" s="627"/>
      <c r="Y9" s="627"/>
      <c r="Z9" s="627"/>
      <c r="AA9" s="627"/>
      <c r="AB9" s="629" t="s">
        <v>149</v>
      </c>
      <c r="AC9" s="627"/>
      <c r="AD9" s="6"/>
      <c r="AE9" s="6"/>
      <c r="AF9" s="6"/>
      <c r="AG9" s="6"/>
      <c r="AH9" s="6"/>
      <c r="AI9" s="6"/>
      <c r="AJ9" s="6"/>
    </row>
    <row r="10" spans="1:36" x14ac:dyDescent="0.2">
      <c r="A10" s="1267">
        <f>Datos!K18</f>
        <v>0</v>
      </c>
      <c r="B10" s="1267"/>
      <c r="C10" s="1267"/>
      <c r="D10" s="1267"/>
      <c r="E10" s="1267"/>
      <c r="F10" s="1267"/>
      <c r="G10" s="1267"/>
      <c r="H10" s="1267"/>
      <c r="I10" s="1267"/>
      <c r="J10" s="1267"/>
      <c r="K10" s="627" t="s">
        <v>207</v>
      </c>
      <c r="L10" s="627"/>
      <c r="M10" s="1265">
        <f>Datos!K19</f>
        <v>0</v>
      </c>
      <c r="N10" s="1265"/>
      <c r="O10" s="1265"/>
      <c r="P10" s="1265"/>
      <c r="Q10" s="627" t="s">
        <v>147</v>
      </c>
      <c r="R10" s="627"/>
      <c r="S10" s="627"/>
      <c r="T10" s="627"/>
      <c r="U10" s="627"/>
      <c r="V10" s="627"/>
      <c r="W10" s="627"/>
      <c r="X10" s="1250">
        <f>Datos!K20</f>
        <v>0</v>
      </c>
      <c r="Y10" s="1250"/>
      <c r="Z10" s="1250"/>
      <c r="AA10" s="1250"/>
      <c r="AB10" s="1250"/>
      <c r="AC10" s="627"/>
      <c r="AD10" s="6"/>
      <c r="AE10" s="6"/>
      <c r="AF10" s="6"/>
      <c r="AG10" s="6"/>
      <c r="AH10" s="6"/>
      <c r="AI10" s="6"/>
      <c r="AJ10" s="6"/>
    </row>
    <row r="11" spans="1:36" x14ac:dyDescent="0.2">
      <c r="A11" s="663">
        <f>Datos!K21</f>
        <v>0</v>
      </c>
      <c r="B11" s="637"/>
      <c r="C11" s="627" t="s">
        <v>145</v>
      </c>
      <c r="D11" s="627"/>
      <c r="E11" s="627"/>
      <c r="F11" s="627"/>
      <c r="G11" s="627"/>
      <c r="H11" s="1246">
        <f>Datos!K22</f>
        <v>0</v>
      </c>
      <c r="I11" s="1246"/>
      <c r="J11" s="1246"/>
      <c r="K11" s="1246"/>
      <c r="L11" s="1246"/>
      <c r="M11" s="1246"/>
      <c r="N11" s="627" t="s">
        <v>148</v>
      </c>
      <c r="O11" s="627"/>
      <c r="P11" s="627"/>
      <c r="Q11" s="1246">
        <f>Datos!K23</f>
        <v>0</v>
      </c>
      <c r="R11" s="1246"/>
      <c r="S11" s="1246"/>
      <c r="T11" s="1246"/>
      <c r="U11" s="1246"/>
      <c r="V11" s="1246"/>
      <c r="W11" s="627"/>
      <c r="X11" s="627"/>
      <c r="Y11" s="627"/>
      <c r="Z11" s="627"/>
      <c r="AA11" s="627"/>
      <c r="AB11" s="629" t="s">
        <v>150</v>
      </c>
      <c r="AC11" s="627"/>
      <c r="AD11" s="6"/>
      <c r="AE11" s="6"/>
      <c r="AF11" s="6"/>
      <c r="AG11" s="6"/>
      <c r="AH11" s="6"/>
      <c r="AI11" s="6"/>
      <c r="AJ11" s="6"/>
    </row>
    <row r="12" spans="1:36" x14ac:dyDescent="0.2">
      <c r="A12" s="1250">
        <f>Datos!K24</f>
        <v>0</v>
      </c>
      <c r="B12" s="1250"/>
      <c r="C12" s="1250"/>
      <c r="D12" s="1250"/>
      <c r="E12" s="1250"/>
      <c r="F12" s="1250"/>
      <c r="G12" s="627" t="s">
        <v>347</v>
      </c>
      <c r="H12" s="627"/>
      <c r="I12" s="627"/>
      <c r="J12" s="627"/>
      <c r="K12" s="627"/>
      <c r="L12" s="627"/>
      <c r="M12" s="627"/>
      <c r="N12" s="627"/>
      <c r="O12" s="627"/>
      <c r="P12" s="627"/>
      <c r="Q12" s="627"/>
      <c r="R12" s="627"/>
      <c r="S12" s="627"/>
      <c r="T12" s="627"/>
      <c r="U12" s="627"/>
      <c r="V12" s="627"/>
      <c r="W12" s="627"/>
      <c r="X12" s="1250">
        <f>Datos!K26</f>
        <v>0</v>
      </c>
      <c r="Y12" s="1250"/>
      <c r="Z12" s="1250"/>
      <c r="AA12" s="627"/>
      <c r="AB12" s="629" t="s">
        <v>151</v>
      </c>
      <c r="AC12" s="627"/>
      <c r="AD12" s="6"/>
      <c r="AE12" s="6"/>
      <c r="AF12" s="6"/>
      <c r="AG12" s="6"/>
      <c r="AH12" s="6"/>
      <c r="AI12" s="6"/>
      <c r="AJ12" s="6"/>
    </row>
    <row r="13" spans="1:36" x14ac:dyDescent="0.2">
      <c r="A13" s="627" t="s">
        <v>152</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
      <c r="AE13" s="6"/>
      <c r="AF13" s="6"/>
      <c r="AG13" s="6"/>
      <c r="AH13" s="6"/>
      <c r="AI13" s="6"/>
      <c r="AJ13" s="6"/>
    </row>
    <row r="14" spans="1:36" x14ac:dyDescent="0.2">
      <c r="A14" s="627"/>
      <c r="B14" s="638" t="s">
        <v>175</v>
      </c>
      <c r="C14" s="627"/>
      <c r="D14" s="627"/>
      <c r="E14" s="627"/>
      <c r="F14" s="627"/>
      <c r="G14" s="627"/>
      <c r="H14" s="627"/>
      <c r="I14" s="627"/>
      <c r="J14" s="627"/>
      <c r="K14" s="627"/>
      <c r="L14" s="627"/>
      <c r="M14" s="627"/>
      <c r="N14" s="627"/>
      <c r="O14" s="1250">
        <f>Datos!K55</f>
        <v>0</v>
      </c>
      <c r="P14" s="1250"/>
      <c r="Q14" s="1250"/>
      <c r="R14" s="1250"/>
      <c r="S14" s="1250"/>
      <c r="T14" s="1250"/>
      <c r="U14" s="1250"/>
      <c r="V14" s="1250"/>
      <c r="W14" s="1250"/>
      <c r="X14" s="1250"/>
      <c r="Y14" s="1250"/>
      <c r="Z14" s="1250"/>
      <c r="AA14" s="1250"/>
      <c r="AB14" s="1250"/>
      <c r="AC14" s="508"/>
      <c r="AD14" s="6"/>
      <c r="AE14" s="6"/>
      <c r="AF14" s="6"/>
      <c r="AG14" s="6"/>
      <c r="AH14" s="6"/>
      <c r="AI14" s="6"/>
      <c r="AJ14" s="6"/>
    </row>
    <row r="15" spans="1:36" x14ac:dyDescent="0.2">
      <c r="A15" s="627" t="s">
        <v>153</v>
      </c>
      <c r="B15" s="639"/>
      <c r="C15" s="627"/>
      <c r="D15" s="627"/>
      <c r="E15" s="627"/>
      <c r="F15" s="627"/>
      <c r="G15" s="627"/>
      <c r="H15" s="1245">
        <f>Datos!K45</f>
        <v>0</v>
      </c>
      <c r="I15" s="1245"/>
      <c r="J15" s="1245"/>
      <c r="K15" s="1245"/>
      <c r="L15" s="1245"/>
      <c r="M15" s="233"/>
      <c r="N15" s="636" t="s">
        <v>35</v>
      </c>
      <c r="O15" s="1266">
        <f>Datos!K46</f>
        <v>0</v>
      </c>
      <c r="P15" s="1266"/>
      <c r="Q15" s="1266"/>
      <c r="R15" s="626" t="s">
        <v>412</v>
      </c>
      <c r="S15" s="626"/>
      <c r="T15" s="508"/>
      <c r="U15" s="508"/>
      <c r="V15" s="233"/>
      <c r="W15" s="1245">
        <f>Datos!K47</f>
        <v>0</v>
      </c>
      <c r="X15" s="1245"/>
      <c r="Y15" s="1245"/>
      <c r="Z15" s="1245"/>
      <c r="AA15" s="1245"/>
      <c r="AB15" s="1245"/>
      <c r="AC15" s="626"/>
      <c r="AD15" s="11"/>
      <c r="AE15" s="11"/>
      <c r="AF15" s="6"/>
      <c r="AG15" s="6"/>
      <c r="AH15" s="6"/>
      <c r="AI15" s="6"/>
      <c r="AJ15" s="6"/>
    </row>
    <row r="16" spans="1:36" x14ac:dyDescent="0.2">
      <c r="A16" s="627" t="s">
        <v>155</v>
      </c>
      <c r="B16" s="627"/>
      <c r="C16" s="627"/>
      <c r="D16" s="639"/>
      <c r="E16" s="1245">
        <f>Datos!K48</f>
        <v>0</v>
      </c>
      <c r="F16" s="1245"/>
      <c r="G16" s="1245"/>
      <c r="H16" s="1245"/>
      <c r="I16" s="1245"/>
      <c r="J16" s="1245"/>
      <c r="K16" s="1245"/>
      <c r="L16" s="1245"/>
      <c r="M16" s="1245"/>
      <c r="N16" s="1245"/>
      <c r="O16" s="1245"/>
      <c r="P16" s="639"/>
      <c r="Q16" s="639"/>
      <c r="R16" s="508"/>
      <c r="S16" s="508"/>
      <c r="T16" s="508"/>
      <c r="U16" s="508"/>
      <c r="V16" s="508"/>
      <c r="W16" s="508"/>
      <c r="X16" s="508"/>
      <c r="Y16" s="508"/>
      <c r="Z16" s="508"/>
      <c r="AA16" s="508"/>
      <c r="AB16" s="233"/>
      <c r="AC16" s="508"/>
      <c r="AD16" s="6"/>
      <c r="AE16" s="6"/>
      <c r="AF16" s="6"/>
      <c r="AG16" s="6"/>
      <c r="AH16" s="6"/>
      <c r="AI16" s="6"/>
      <c r="AJ16" s="6"/>
    </row>
    <row r="17" spans="1:36" x14ac:dyDescent="0.2">
      <c r="A17" s="627" t="s">
        <v>156</v>
      </c>
      <c r="B17" s="639"/>
      <c r="C17" s="631">
        <f>Datos!K49</f>
        <v>0</v>
      </c>
      <c r="D17" s="639"/>
      <c r="E17" s="627" t="s">
        <v>157</v>
      </c>
      <c r="F17" s="627"/>
      <c r="G17" s="631">
        <f>Datos!K50</f>
        <v>0</v>
      </c>
      <c r="H17" s="639"/>
      <c r="I17" s="627" t="s">
        <v>158</v>
      </c>
      <c r="J17" s="639"/>
      <c r="K17" s="1255">
        <f>Datos!K51</f>
        <v>0</v>
      </c>
      <c r="L17" s="1255"/>
      <c r="M17" s="639"/>
      <c r="N17" s="627" t="s">
        <v>159</v>
      </c>
      <c r="O17" s="627"/>
      <c r="P17" s="1255">
        <f>Datos!K52</f>
        <v>0</v>
      </c>
      <c r="Q17" s="1255"/>
      <c r="R17" s="627" t="s">
        <v>42</v>
      </c>
      <c r="S17" s="233"/>
      <c r="T17" s="664">
        <f>Datos!K53</f>
        <v>0</v>
      </c>
      <c r="U17" s="627"/>
      <c r="V17" s="627"/>
      <c r="W17" s="627"/>
      <c r="X17" s="639"/>
      <c r="Y17" s="639"/>
      <c r="Z17" s="639"/>
      <c r="AA17" s="639"/>
      <c r="AB17" s="639"/>
      <c r="AC17" s="508"/>
      <c r="AD17" s="6"/>
      <c r="AE17" s="6"/>
      <c r="AF17" s="6"/>
      <c r="AG17" s="6"/>
      <c r="AH17" s="6"/>
      <c r="AI17" s="6"/>
      <c r="AJ17" s="6"/>
    </row>
    <row r="18" spans="1:36" x14ac:dyDescent="0.2">
      <c r="A18" s="639"/>
      <c r="B18" s="638" t="s">
        <v>206</v>
      </c>
      <c r="C18" s="639"/>
      <c r="D18" s="639"/>
      <c r="E18" s="639"/>
      <c r="F18" s="639"/>
      <c r="G18" s="639"/>
      <c r="H18" s="639"/>
      <c r="I18" s="627"/>
      <c r="J18" s="627"/>
      <c r="K18" s="627"/>
      <c r="L18" s="627"/>
      <c r="M18" s="627"/>
      <c r="N18" s="627"/>
      <c r="O18" s="627"/>
      <c r="P18" s="627"/>
      <c r="Q18" s="649" t="s">
        <v>185</v>
      </c>
      <c r="R18" s="650"/>
      <c r="S18" s="650"/>
      <c r="T18" s="650"/>
      <c r="U18" s="650"/>
      <c r="V18" s="650"/>
      <c r="W18" s="650"/>
      <c r="X18" s="650"/>
      <c r="Y18" s="650"/>
      <c r="Z18" s="650"/>
      <c r="AA18" s="665"/>
      <c r="AB18" s="639"/>
      <c r="AC18" s="508"/>
      <c r="AD18" s="6"/>
      <c r="AE18" s="6"/>
      <c r="AF18" s="6"/>
      <c r="AG18" s="6"/>
      <c r="AH18" s="6"/>
      <c r="AI18" s="6"/>
      <c r="AJ18" s="6"/>
    </row>
    <row r="19" spans="1:36" x14ac:dyDescent="0.2">
      <c r="A19" s="627" t="s">
        <v>192</v>
      </c>
      <c r="B19" s="627"/>
      <c r="C19" s="627"/>
      <c r="D19" s="627"/>
      <c r="E19" s="627"/>
      <c r="F19" s="627"/>
      <c r="G19" s="627"/>
      <c r="H19" s="627"/>
      <c r="I19" s="627"/>
      <c r="J19" s="627"/>
      <c r="K19" s="627"/>
      <c r="L19" s="627"/>
      <c r="M19" s="627"/>
      <c r="N19" s="627"/>
      <c r="O19" s="233"/>
      <c r="P19" s="627"/>
      <c r="Q19" s="666"/>
      <c r="R19" s="627"/>
      <c r="S19" s="627"/>
      <c r="T19" s="627"/>
      <c r="U19" s="627"/>
      <c r="V19" s="627"/>
      <c r="W19" s="627"/>
      <c r="X19" s="627"/>
      <c r="Y19" s="627"/>
      <c r="Z19" s="627"/>
      <c r="AA19" s="667"/>
      <c r="AB19" s="627"/>
      <c r="AC19" s="508"/>
      <c r="AD19" s="6"/>
      <c r="AE19" s="6"/>
      <c r="AF19" s="6"/>
      <c r="AG19" s="6"/>
      <c r="AH19" s="6"/>
      <c r="AI19" s="6"/>
      <c r="AJ19" s="6"/>
    </row>
    <row r="20" spans="1:36" x14ac:dyDescent="0.2">
      <c r="A20" s="627" t="s">
        <v>193</v>
      </c>
      <c r="B20" s="627"/>
      <c r="C20" s="627"/>
      <c r="D20" s="638"/>
      <c r="E20" s="627"/>
      <c r="F20" s="627"/>
      <c r="G20" s="627"/>
      <c r="H20" s="627"/>
      <c r="I20" s="627"/>
      <c r="J20" s="627"/>
      <c r="K20" s="627"/>
      <c r="L20" s="627"/>
      <c r="M20" s="627"/>
      <c r="N20" s="627"/>
      <c r="O20" s="627"/>
      <c r="P20" s="233"/>
      <c r="Q20" s="651"/>
      <c r="R20" s="645"/>
      <c r="S20" s="645"/>
      <c r="T20" s="645"/>
      <c r="U20" s="645"/>
      <c r="V20" s="645"/>
      <c r="W20" s="645"/>
      <c r="X20" s="645"/>
      <c r="Y20" s="645"/>
      <c r="Z20" s="645"/>
      <c r="AA20" s="667"/>
      <c r="AB20" s="627"/>
      <c r="AC20" s="508"/>
      <c r="AD20" s="6"/>
      <c r="AE20" s="6"/>
      <c r="AF20" s="6"/>
      <c r="AG20" s="6"/>
      <c r="AH20" s="6"/>
      <c r="AI20" s="6"/>
      <c r="AJ20" s="6"/>
    </row>
    <row r="21" spans="1:36" x14ac:dyDescent="0.2">
      <c r="A21" s="1269" t="str">
        <f>Datos!F130</f>
        <v>CERO CON 00/100</v>
      </c>
      <c r="B21" s="1269"/>
      <c r="C21" s="1269"/>
      <c r="D21" s="1269"/>
      <c r="E21" s="1269"/>
      <c r="F21" s="1269"/>
      <c r="G21" s="1269"/>
      <c r="H21" s="1269"/>
      <c r="I21" s="1269"/>
      <c r="J21" s="1269"/>
      <c r="K21" s="1269"/>
      <c r="L21" s="1269"/>
      <c r="M21" s="1269"/>
      <c r="N21" s="1269"/>
      <c r="O21" s="1269"/>
      <c r="P21" s="668"/>
      <c r="Q21" s="651"/>
      <c r="R21" s="645"/>
      <c r="S21" s="645"/>
      <c r="T21" s="645"/>
      <c r="U21" s="645"/>
      <c r="V21" s="645"/>
      <c r="W21" s="645"/>
      <c r="X21" s="645"/>
      <c r="Y21" s="645"/>
      <c r="Z21" s="645"/>
      <c r="AA21" s="667"/>
      <c r="AB21" s="627"/>
      <c r="AC21" s="508"/>
      <c r="AD21" s="6"/>
      <c r="AE21" s="6"/>
      <c r="AF21" s="6"/>
      <c r="AG21" s="6"/>
      <c r="AH21" s="6"/>
      <c r="AI21" s="6"/>
      <c r="AJ21" s="6"/>
    </row>
    <row r="22" spans="1:36" x14ac:dyDescent="0.2">
      <c r="A22" s="1244">
        <f>Datos!R129</f>
        <v>0</v>
      </c>
      <c r="B22" s="1244"/>
      <c r="C22" s="1244"/>
      <c r="D22" s="1244"/>
      <c r="E22" s="627"/>
      <c r="F22" s="627"/>
      <c r="G22" s="627"/>
      <c r="H22" s="627"/>
      <c r="I22" s="627"/>
      <c r="J22" s="627"/>
      <c r="K22" s="627"/>
      <c r="L22" s="627"/>
      <c r="M22" s="233"/>
      <c r="N22" s="627"/>
      <c r="O22" s="629" t="s">
        <v>190</v>
      </c>
      <c r="P22" s="645"/>
      <c r="Q22" s="651"/>
      <c r="R22" s="645"/>
      <c r="S22" s="645"/>
      <c r="T22" s="645"/>
      <c r="U22" s="645"/>
      <c r="V22" s="645"/>
      <c r="W22" s="645"/>
      <c r="X22" s="645"/>
      <c r="Y22" s="645"/>
      <c r="Z22" s="645"/>
      <c r="AA22" s="667"/>
      <c r="AB22" s="627"/>
      <c r="AC22" s="508"/>
      <c r="AD22" s="6"/>
      <c r="AE22" s="6"/>
      <c r="AF22" s="6"/>
      <c r="AG22" s="6"/>
      <c r="AH22" s="6"/>
      <c r="AI22" s="6"/>
      <c r="AJ22" s="6"/>
    </row>
    <row r="23" spans="1:36" x14ac:dyDescent="0.2">
      <c r="A23" s="627" t="s">
        <v>194</v>
      </c>
      <c r="B23" s="627"/>
      <c r="C23" s="627"/>
      <c r="D23" s="627"/>
      <c r="E23" s="627"/>
      <c r="F23" s="627"/>
      <c r="G23" s="627"/>
      <c r="H23" s="627"/>
      <c r="I23" s="627"/>
      <c r="J23" s="627"/>
      <c r="K23" s="627"/>
      <c r="L23" s="627"/>
      <c r="M23" s="627"/>
      <c r="N23" s="627"/>
      <c r="O23" s="645"/>
      <c r="P23" s="645"/>
      <c r="Q23" s="651"/>
      <c r="R23" s="645"/>
      <c r="S23" s="645"/>
      <c r="T23" s="645"/>
      <c r="U23" s="645"/>
      <c r="V23" s="645"/>
      <c r="W23" s="645"/>
      <c r="X23" s="645"/>
      <c r="Y23" s="645"/>
      <c r="Z23" s="645"/>
      <c r="AA23" s="667"/>
      <c r="AB23" s="627"/>
      <c r="AC23" s="508"/>
      <c r="AD23" s="6"/>
      <c r="AE23" s="6"/>
      <c r="AF23" s="6"/>
      <c r="AG23" s="6"/>
      <c r="AH23" s="6"/>
      <c r="AI23" s="6"/>
      <c r="AJ23" s="6"/>
    </row>
    <row r="24" spans="1:36" x14ac:dyDescent="0.2">
      <c r="A24" s="627" t="s">
        <v>195</v>
      </c>
      <c r="B24" s="627"/>
      <c r="C24" s="627"/>
      <c r="D24" s="627"/>
      <c r="E24" s="627"/>
      <c r="F24" s="627"/>
      <c r="G24" s="627"/>
      <c r="H24" s="627"/>
      <c r="I24" s="627"/>
      <c r="J24" s="627"/>
      <c r="K24" s="627"/>
      <c r="L24" s="627"/>
      <c r="M24" s="627"/>
      <c r="N24" s="627"/>
      <c r="O24" s="645"/>
      <c r="P24" s="645"/>
      <c r="Q24" s="651"/>
      <c r="R24" s="645"/>
      <c r="S24" s="645"/>
      <c r="T24" s="645"/>
      <c r="U24" s="645"/>
      <c r="V24" s="645"/>
      <c r="W24" s="645"/>
      <c r="X24" s="645"/>
      <c r="Y24" s="645"/>
      <c r="Z24" s="645"/>
      <c r="AA24" s="667"/>
      <c r="AB24" s="627"/>
      <c r="AC24" s="508"/>
      <c r="AD24" s="6"/>
      <c r="AE24" s="6"/>
      <c r="AF24" s="6"/>
      <c r="AG24" s="6"/>
      <c r="AH24" s="6"/>
      <c r="AI24" s="6"/>
      <c r="AJ24" s="6"/>
    </row>
    <row r="25" spans="1:36" x14ac:dyDescent="0.2">
      <c r="A25" s="627"/>
      <c r="B25" s="638" t="s">
        <v>504</v>
      </c>
      <c r="C25" s="627"/>
      <c r="D25" s="627"/>
      <c r="E25" s="233"/>
      <c r="F25" s="627"/>
      <c r="G25" s="627"/>
      <c r="H25" s="1267">
        <f>Datos!K29</f>
        <v>0</v>
      </c>
      <c r="I25" s="1267"/>
      <c r="J25" s="1267"/>
      <c r="K25" s="1267"/>
      <c r="L25" s="1267"/>
      <c r="M25" s="1267"/>
      <c r="N25" s="1267"/>
      <c r="O25" s="1267"/>
      <c r="P25" s="1275"/>
      <c r="Q25" s="651"/>
      <c r="R25" s="645"/>
      <c r="S25" s="645"/>
      <c r="T25" s="645"/>
      <c r="U25" s="645"/>
      <c r="V25" s="645"/>
      <c r="W25" s="645"/>
      <c r="X25" s="645"/>
      <c r="Y25" s="645"/>
      <c r="Z25" s="645"/>
      <c r="AA25" s="667"/>
      <c r="AB25" s="627"/>
      <c r="AC25" s="508"/>
      <c r="AD25" s="6"/>
      <c r="AE25" s="6"/>
      <c r="AF25" s="6"/>
      <c r="AG25" s="6"/>
      <c r="AH25" s="6"/>
      <c r="AI25" s="6"/>
      <c r="AJ25" s="6"/>
    </row>
    <row r="26" spans="1:36" x14ac:dyDescent="0.2">
      <c r="A26" s="627" t="s">
        <v>196</v>
      </c>
      <c r="B26" s="508"/>
      <c r="C26" s="508"/>
      <c r="D26" s="508"/>
      <c r="E26" s="508"/>
      <c r="F26" s="508"/>
      <c r="G26" s="508"/>
      <c r="H26" s="508"/>
      <c r="I26" s="508"/>
      <c r="J26" s="508"/>
      <c r="K26" s="508"/>
      <c r="L26" s="508"/>
      <c r="M26" s="508"/>
      <c r="N26" s="508"/>
      <c r="O26" s="508"/>
      <c r="P26" s="509"/>
      <c r="Q26" s="651"/>
      <c r="R26" s="645"/>
      <c r="S26" s="645"/>
      <c r="T26" s="645"/>
      <c r="U26" s="645"/>
      <c r="V26" s="645"/>
      <c r="W26" s="645"/>
      <c r="X26" s="645"/>
      <c r="Y26" s="645"/>
      <c r="Z26" s="645"/>
      <c r="AA26" s="667"/>
      <c r="AB26" s="627"/>
      <c r="AC26" s="508"/>
      <c r="AD26" s="6"/>
      <c r="AE26" s="6"/>
      <c r="AF26" s="6"/>
      <c r="AG26" s="6"/>
      <c r="AH26" s="6"/>
      <c r="AI26" s="6"/>
      <c r="AJ26" s="6"/>
    </row>
    <row r="27" spans="1:36" x14ac:dyDescent="0.2">
      <c r="A27" s="627" t="s">
        <v>710</v>
      </c>
      <c r="B27" s="508"/>
      <c r="C27" s="627"/>
      <c r="D27" s="627"/>
      <c r="E27" s="627"/>
      <c r="F27" s="627"/>
      <c r="G27" s="508"/>
      <c r="H27" s="627" t="s">
        <v>324</v>
      </c>
      <c r="I27" s="508"/>
      <c r="J27" s="508"/>
      <c r="K27" s="627"/>
      <c r="L27" s="526"/>
      <c r="M27" s="526"/>
      <c r="N27" s="526"/>
      <c r="O27" s="526"/>
      <c r="P27" s="509"/>
      <c r="Q27" s="651"/>
      <c r="R27" s="645"/>
      <c r="S27" s="645"/>
      <c r="T27" s="645"/>
      <c r="U27" s="645"/>
      <c r="V27" s="645"/>
      <c r="W27" s="645"/>
      <c r="X27" s="645"/>
      <c r="Y27" s="645"/>
      <c r="Z27" s="645"/>
      <c r="AA27" s="667"/>
      <c r="AB27" s="627"/>
      <c r="AC27" s="508"/>
      <c r="AD27" s="6"/>
      <c r="AE27" s="6"/>
      <c r="AF27" s="6"/>
      <c r="AG27" s="6"/>
      <c r="AH27" s="6"/>
      <c r="AI27" s="6"/>
      <c r="AJ27" s="6"/>
    </row>
    <row r="28" spans="1:36" x14ac:dyDescent="0.2">
      <c r="A28" s="1270" t="str">
        <f>Anexa!D12</f>
        <v>OTRO PROFESIONAL ASUME LA CONSTRUCCION</v>
      </c>
      <c r="B28" s="1271"/>
      <c r="C28" s="1271"/>
      <c r="D28" s="1271"/>
      <c r="E28" s="1271"/>
      <c r="F28" s="1271"/>
      <c r="G28" s="1271"/>
      <c r="H28" s="1271"/>
      <c r="I28" s="1271"/>
      <c r="J28" s="1271"/>
      <c r="K28" s="1272" t="str">
        <f>Anexa!G12</f>
        <v>.</v>
      </c>
      <c r="L28" s="1273"/>
      <c r="M28" s="1273"/>
      <c r="N28" s="1273"/>
      <c r="O28" s="1273"/>
      <c r="P28" s="1274"/>
      <c r="Q28" s="651"/>
      <c r="R28" s="645"/>
      <c r="S28" s="645"/>
      <c r="T28" s="645"/>
      <c r="U28" s="645"/>
      <c r="V28" s="645"/>
      <c r="W28" s="645"/>
      <c r="X28" s="645"/>
      <c r="Y28" s="645"/>
      <c r="Z28" s="645"/>
      <c r="AA28" s="667"/>
      <c r="AB28" s="627"/>
      <c r="AC28" s="508"/>
      <c r="AD28" s="6"/>
      <c r="AE28" s="6"/>
      <c r="AF28" s="6"/>
      <c r="AG28" s="6"/>
      <c r="AH28" s="6"/>
      <c r="AI28" s="6"/>
      <c r="AJ28" s="6"/>
    </row>
    <row r="29" spans="1:36" x14ac:dyDescent="0.2">
      <c r="A29" s="507"/>
      <c r="B29" s="638" t="s">
        <v>559</v>
      </c>
      <c r="C29" s="627"/>
      <c r="D29" s="627"/>
      <c r="E29" s="627"/>
      <c r="F29" s="627"/>
      <c r="G29" s="627"/>
      <c r="H29" s="627"/>
      <c r="I29" s="627"/>
      <c r="J29" s="627"/>
      <c r="K29" s="508"/>
      <c r="L29" s="627"/>
      <c r="M29" s="627"/>
      <c r="N29" s="627"/>
      <c r="O29" s="627"/>
      <c r="P29" s="645"/>
      <c r="Q29" s="654"/>
      <c r="R29" s="655"/>
      <c r="S29" s="655"/>
      <c r="T29" s="655"/>
      <c r="U29" s="655"/>
      <c r="V29" s="655"/>
      <c r="W29" s="655"/>
      <c r="X29" s="655"/>
      <c r="Y29" s="655"/>
      <c r="Z29" s="655"/>
      <c r="AA29" s="669"/>
      <c r="AB29" s="627"/>
      <c r="AC29" s="508"/>
      <c r="AD29" s="6"/>
      <c r="AE29" s="6"/>
      <c r="AF29" s="6"/>
      <c r="AG29" s="6"/>
      <c r="AH29" s="6"/>
      <c r="AI29" s="6"/>
      <c r="AJ29" s="6"/>
    </row>
    <row r="30" spans="1:36" x14ac:dyDescent="0.2">
      <c r="A30" s="627" t="s">
        <v>198</v>
      </c>
      <c r="B30" s="233"/>
      <c r="C30" s="627"/>
      <c r="D30" s="627"/>
      <c r="E30" s="627"/>
      <c r="F30" s="627"/>
      <c r="G30" s="627"/>
      <c r="H30" s="627"/>
      <c r="I30" s="627"/>
      <c r="J30" s="627"/>
      <c r="K30" s="627"/>
      <c r="L30" s="627"/>
      <c r="M30" s="627"/>
      <c r="N30" s="627"/>
      <c r="O30" s="627"/>
      <c r="P30" s="645"/>
      <c r="Q30" s="233"/>
      <c r="R30" s="508"/>
      <c r="S30" s="508"/>
      <c r="T30" s="508"/>
      <c r="U30" s="508"/>
      <c r="V30" s="508"/>
      <c r="W30" s="508"/>
      <c r="X30" s="508"/>
      <c r="Y30" s="508"/>
      <c r="Z30" s="508"/>
      <c r="AA30" s="508"/>
      <c r="AB30" s="627"/>
      <c r="AC30" s="508"/>
      <c r="AD30" s="6"/>
      <c r="AE30" s="6"/>
      <c r="AF30" s="6"/>
      <c r="AG30" s="6"/>
      <c r="AH30" s="6"/>
      <c r="AI30" s="6"/>
      <c r="AJ30" s="6"/>
    </row>
    <row r="31" spans="1:36" x14ac:dyDescent="0.2">
      <c r="A31" s="627" t="s">
        <v>186</v>
      </c>
      <c r="B31" s="627"/>
      <c r="C31" s="1264" t="str">
        <f>Datos!F136</f>
        <v>CERO CON 00/100</v>
      </c>
      <c r="D31" s="1264"/>
      <c r="E31" s="1264"/>
      <c r="F31" s="1264"/>
      <c r="G31" s="1264"/>
      <c r="H31" s="1264"/>
      <c r="I31" s="1264"/>
      <c r="J31" s="1264"/>
      <c r="K31" s="1264"/>
      <c r="L31" s="1264"/>
      <c r="M31" s="1264"/>
      <c r="N31" s="1264"/>
      <c r="O31" s="1264"/>
      <c r="P31" s="1264"/>
      <c r="Q31" s="1264"/>
      <c r="R31" s="1264"/>
      <c r="S31" s="1264"/>
      <c r="T31" s="1244">
        <f>IF(Datos!K59="Reajuste",Datos!R129,Datos!H134)</f>
        <v>0</v>
      </c>
      <c r="U31" s="1244"/>
      <c r="V31" s="1244"/>
      <c r="W31" s="1244"/>
      <c r="X31" s="1244"/>
      <c r="Y31" s="626" t="s">
        <v>414</v>
      </c>
      <c r="Z31" s="627"/>
      <c r="AA31" s="627"/>
      <c r="AB31" s="233"/>
      <c r="AC31" s="508"/>
      <c r="AD31" s="6"/>
      <c r="AE31" s="6"/>
      <c r="AF31" s="6"/>
      <c r="AG31" s="6"/>
      <c r="AH31" s="6"/>
      <c r="AI31" s="6"/>
      <c r="AJ31" s="6"/>
    </row>
    <row r="32" spans="1:36" x14ac:dyDescent="0.2">
      <c r="A32" s="627" t="s">
        <v>415</v>
      </c>
      <c r="B32" s="627"/>
      <c r="C32" s="508"/>
      <c r="D32" s="508"/>
      <c r="E32" s="233"/>
      <c r="F32" s="1250">
        <f>Datos!H137</f>
        <v>0</v>
      </c>
      <c r="G32" s="1250"/>
      <c r="H32" s="1250"/>
      <c r="I32" s="1250"/>
      <c r="J32" s="1250"/>
      <c r="K32" s="1250"/>
      <c r="L32" s="1250"/>
      <c r="M32" s="1250"/>
      <c r="N32" s="1250"/>
      <c r="O32" s="1250"/>
      <c r="P32" s="1250"/>
      <c r="Q32" s="1250"/>
      <c r="R32" s="1250"/>
      <c r="S32" s="627" t="s">
        <v>413</v>
      </c>
      <c r="T32" s="508"/>
      <c r="U32" s="508"/>
      <c r="V32" s="508"/>
      <c r="W32" s="508"/>
      <c r="X32" s="508"/>
      <c r="Y32" s="627"/>
      <c r="Z32" s="508"/>
      <c r="AA32" s="508"/>
      <c r="AB32" s="508"/>
      <c r="AC32" s="508"/>
      <c r="AD32" s="6"/>
      <c r="AE32" s="6"/>
      <c r="AF32" s="6"/>
      <c r="AG32" s="6"/>
      <c r="AH32" s="6"/>
      <c r="AI32" s="6"/>
      <c r="AJ32" s="6"/>
    </row>
    <row r="33" spans="1:36" x14ac:dyDescent="0.2">
      <c r="A33" s="1248">
        <f>Datos!H139</f>
        <v>0</v>
      </c>
      <c r="B33" s="1248"/>
      <c r="C33" s="1248"/>
      <c r="D33" s="1248"/>
      <c r="E33" s="1248"/>
      <c r="F33" s="1248"/>
      <c r="G33" s="1248"/>
      <c r="H33" s="1248"/>
      <c r="I33" s="1248"/>
      <c r="J33" s="1248"/>
      <c r="K33" s="627" t="s">
        <v>146</v>
      </c>
      <c r="L33" s="508"/>
      <c r="M33" s="508"/>
      <c r="N33" s="508"/>
      <c r="O33" s="508"/>
      <c r="P33" s="508"/>
      <c r="Q33" s="508"/>
      <c r="R33" s="508"/>
      <c r="S33" s="508"/>
      <c r="T33" s="508"/>
      <c r="U33" s="627"/>
      <c r="V33" s="627"/>
      <c r="W33" s="233"/>
      <c r="X33" s="670"/>
      <c r="Y33" s="629"/>
      <c r="Z33" s="508"/>
      <c r="AA33" s="508"/>
      <c r="AB33" s="508"/>
      <c r="AC33" s="508"/>
      <c r="AD33" s="6"/>
      <c r="AE33" s="6"/>
      <c r="AF33" s="6"/>
      <c r="AG33" s="6"/>
      <c r="AH33" s="6"/>
      <c r="AI33" s="6"/>
      <c r="AJ33" s="6"/>
    </row>
    <row r="34" spans="1:36" x14ac:dyDescent="0.2">
      <c r="A34" s="233"/>
      <c r="B34" s="638" t="s">
        <v>560</v>
      </c>
      <c r="C34" s="627"/>
      <c r="D34" s="627"/>
      <c r="E34" s="629"/>
      <c r="F34" s="627"/>
      <c r="G34" s="627"/>
      <c r="H34" s="627"/>
      <c r="I34" s="627"/>
      <c r="J34" s="627"/>
      <c r="K34" s="627"/>
      <c r="L34" s="627"/>
      <c r="M34" s="627"/>
      <c r="N34" s="627"/>
      <c r="O34" s="627"/>
      <c r="P34" s="627"/>
      <c r="Q34" s="627"/>
      <c r="R34" s="627"/>
      <c r="S34" s="627"/>
      <c r="T34" s="1247">
        <f>Datos!K57</f>
        <v>0</v>
      </c>
      <c r="U34" s="1247"/>
      <c r="V34" s="1247"/>
      <c r="W34" s="1247"/>
      <c r="X34" s="1247"/>
      <c r="Y34" s="1252">
        <f>Datos!K58</f>
        <v>0</v>
      </c>
      <c r="Z34" s="1252"/>
      <c r="AA34" s="627"/>
      <c r="AB34" s="627"/>
      <c r="AC34" s="508"/>
      <c r="AD34" s="6"/>
      <c r="AE34" s="6"/>
      <c r="AF34" s="6"/>
      <c r="AG34" s="6"/>
      <c r="AH34" s="6"/>
      <c r="AI34" s="6"/>
      <c r="AJ34" s="6"/>
    </row>
    <row r="35" spans="1:36" x14ac:dyDescent="0.2">
      <c r="A35" s="627" t="s">
        <v>432</v>
      </c>
      <c r="B35" s="233"/>
      <c r="C35" s="627"/>
      <c r="D35" s="627"/>
      <c r="E35" s="627"/>
      <c r="F35" s="627"/>
      <c r="G35" s="627"/>
      <c r="H35" s="627"/>
      <c r="I35" s="627"/>
      <c r="J35" s="627"/>
      <c r="K35" s="627"/>
      <c r="L35" s="627"/>
      <c r="M35" s="627"/>
      <c r="N35" s="627"/>
      <c r="O35" s="627"/>
      <c r="P35" s="627"/>
      <c r="Q35" s="627"/>
      <c r="R35" s="627"/>
      <c r="S35" s="627"/>
      <c r="T35" s="233"/>
      <c r="U35" s="233"/>
      <c r="V35" s="233"/>
      <c r="W35" s="233"/>
      <c r="X35" s="233"/>
      <c r="Y35" s="233"/>
      <c r="Z35" s="233"/>
      <c r="AA35" s="627"/>
      <c r="AB35" s="233"/>
      <c r="AC35" s="508"/>
      <c r="AD35" s="6"/>
      <c r="AE35" s="6"/>
      <c r="AF35" s="6"/>
      <c r="AG35" s="6"/>
      <c r="AH35" s="6"/>
      <c r="AI35" s="6"/>
      <c r="AJ35" s="6"/>
    </row>
    <row r="36" spans="1:36" x14ac:dyDescent="0.2">
      <c r="A36" s="671" t="s">
        <v>435</v>
      </c>
      <c r="B36" s="627"/>
      <c r="C36" s="627"/>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508"/>
      <c r="AD36" s="6"/>
      <c r="AE36" s="6"/>
      <c r="AF36" s="6"/>
      <c r="AG36" s="6"/>
      <c r="AH36" s="6"/>
      <c r="AI36" s="6"/>
      <c r="AJ36" s="6"/>
    </row>
    <row r="37" spans="1:36" x14ac:dyDescent="0.2">
      <c r="A37" s="634" t="s">
        <v>436</v>
      </c>
      <c r="B37" s="627"/>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508"/>
      <c r="AD37" s="6"/>
      <c r="AE37" s="6"/>
      <c r="AF37" s="6"/>
      <c r="AG37" s="6"/>
      <c r="AH37" s="6"/>
      <c r="AI37" s="6"/>
      <c r="AJ37" s="6"/>
    </row>
    <row r="38" spans="1:36" x14ac:dyDescent="0.2">
      <c r="A38" s="627"/>
      <c r="B38" s="672" t="s">
        <v>561</v>
      </c>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508"/>
      <c r="AD38" s="6"/>
      <c r="AE38" s="6"/>
      <c r="AF38" s="6"/>
      <c r="AG38" s="6"/>
      <c r="AH38" s="6"/>
      <c r="AI38" s="6"/>
      <c r="AJ38" s="6"/>
    </row>
    <row r="39" spans="1:36" x14ac:dyDescent="0.2">
      <c r="A39" s="627" t="s">
        <v>462</v>
      </c>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508"/>
      <c r="AD39" s="6"/>
      <c r="AE39" s="6"/>
      <c r="AF39" s="6"/>
      <c r="AG39" s="6"/>
      <c r="AH39" s="6"/>
      <c r="AI39" s="6"/>
      <c r="AJ39" s="6"/>
    </row>
    <row r="40" spans="1:36" x14ac:dyDescent="0.2">
      <c r="A40" s="627"/>
      <c r="B40" s="638" t="s">
        <v>562</v>
      </c>
      <c r="C40" s="627"/>
      <c r="D40" s="627"/>
      <c r="E40" s="627"/>
      <c r="F40" s="627"/>
      <c r="G40" s="627"/>
      <c r="H40" s="627"/>
      <c r="I40" s="627"/>
      <c r="J40" s="627"/>
      <c r="K40" s="627"/>
      <c r="L40" s="627"/>
      <c r="M40" s="627"/>
      <c r="N40" s="627"/>
      <c r="O40" s="627"/>
      <c r="P40" s="233"/>
      <c r="Q40" s="233"/>
      <c r="R40" s="233"/>
      <c r="S40" s="233"/>
      <c r="T40" s="233"/>
      <c r="U40" s="233"/>
      <c r="V40" s="233"/>
      <c r="W40" s="233"/>
      <c r="X40" s="233"/>
      <c r="Y40" s="233"/>
      <c r="Z40" s="233"/>
      <c r="AA40" s="233"/>
      <c r="AB40" s="627"/>
      <c r="AC40" s="508"/>
      <c r="AD40" s="6"/>
      <c r="AE40" s="6"/>
      <c r="AF40" s="6"/>
      <c r="AG40" s="6"/>
      <c r="AH40" s="6"/>
      <c r="AI40" s="6"/>
      <c r="AJ40" s="6"/>
    </row>
    <row r="41" spans="1:36" x14ac:dyDescent="0.2">
      <c r="A41" s="634" t="s">
        <v>418</v>
      </c>
      <c r="B41" s="627"/>
      <c r="C41" s="627"/>
      <c r="D41" s="627"/>
      <c r="E41" s="627"/>
      <c r="F41" s="627"/>
      <c r="G41" s="627"/>
      <c r="H41" s="627"/>
      <c r="I41" s="627"/>
      <c r="J41" s="627"/>
      <c r="K41" s="627"/>
      <c r="L41" s="627"/>
      <c r="M41" s="627"/>
      <c r="N41" s="627"/>
      <c r="O41" s="645"/>
      <c r="P41" s="627"/>
      <c r="Q41" s="627"/>
      <c r="R41" s="627"/>
      <c r="S41" s="627"/>
      <c r="T41" s="627"/>
      <c r="U41" s="627"/>
      <c r="V41" s="627"/>
      <c r="W41" s="627"/>
      <c r="X41" s="627"/>
      <c r="Y41" s="627"/>
      <c r="Z41" s="627"/>
      <c r="AA41" s="627"/>
      <c r="AB41" s="627"/>
      <c r="AC41" s="508"/>
      <c r="AD41" s="6"/>
      <c r="AE41" s="6"/>
      <c r="AF41" s="6"/>
      <c r="AG41" s="6"/>
      <c r="AH41" s="6"/>
      <c r="AI41" s="6"/>
      <c r="AJ41" s="6"/>
    </row>
    <row r="42" spans="1:36" x14ac:dyDescent="0.2">
      <c r="A42" s="673" t="s">
        <v>419</v>
      </c>
      <c r="B42" s="627"/>
      <c r="C42" s="627"/>
      <c r="D42" s="627"/>
      <c r="E42" s="627"/>
      <c r="F42" s="627"/>
      <c r="G42" s="627"/>
      <c r="H42" s="627"/>
      <c r="I42" s="627"/>
      <c r="J42" s="627"/>
      <c r="K42" s="627"/>
      <c r="L42" s="627"/>
      <c r="M42" s="627"/>
      <c r="N42" s="627"/>
      <c r="O42" s="627"/>
      <c r="P42" s="627"/>
      <c r="Q42" s="649" t="s">
        <v>184</v>
      </c>
      <c r="R42" s="650"/>
      <c r="S42" s="650"/>
      <c r="T42" s="650"/>
      <c r="U42" s="650"/>
      <c r="V42" s="650"/>
      <c r="W42" s="650"/>
      <c r="X42" s="650"/>
      <c r="Y42" s="650"/>
      <c r="Z42" s="650"/>
      <c r="AA42" s="665"/>
      <c r="AB42" s="627"/>
      <c r="AC42" s="508"/>
      <c r="AD42" s="6"/>
      <c r="AE42" s="6"/>
      <c r="AF42" s="6"/>
      <c r="AG42" s="6"/>
      <c r="AH42" s="6"/>
      <c r="AI42" s="6"/>
      <c r="AJ42" s="6"/>
    </row>
    <row r="43" spans="1:36" x14ac:dyDescent="0.2">
      <c r="A43" s="634" t="s">
        <v>420</v>
      </c>
      <c r="B43" s="627"/>
      <c r="C43" s="627"/>
      <c r="D43" s="627"/>
      <c r="E43" s="627"/>
      <c r="F43" s="627"/>
      <c r="G43" s="627"/>
      <c r="H43" s="627"/>
      <c r="I43" s="627"/>
      <c r="J43" s="627"/>
      <c r="K43" s="627"/>
      <c r="L43" s="627"/>
      <c r="M43" s="627"/>
      <c r="N43" s="627"/>
      <c r="O43" s="645"/>
      <c r="P43" s="233"/>
      <c r="Q43" s="666"/>
      <c r="R43" s="627"/>
      <c r="S43" s="627"/>
      <c r="T43" s="627"/>
      <c r="U43" s="627"/>
      <c r="V43" s="627"/>
      <c r="W43" s="627"/>
      <c r="X43" s="627"/>
      <c r="Y43" s="627"/>
      <c r="Z43" s="627"/>
      <c r="AA43" s="667"/>
      <c r="AB43" s="627"/>
      <c r="AC43" s="508"/>
      <c r="AD43" s="6"/>
      <c r="AE43" s="6"/>
      <c r="AF43" s="6"/>
      <c r="AG43" s="6"/>
      <c r="AH43" s="6"/>
      <c r="AI43" s="6"/>
      <c r="AJ43" s="6"/>
    </row>
    <row r="44" spans="1:36" x14ac:dyDescent="0.2">
      <c r="A44" s="634" t="s">
        <v>421</v>
      </c>
      <c r="B44" s="627"/>
      <c r="C44" s="627"/>
      <c r="D44" s="627"/>
      <c r="E44" s="627"/>
      <c r="F44" s="627"/>
      <c r="G44" s="627"/>
      <c r="H44" s="627"/>
      <c r="I44" s="627"/>
      <c r="J44" s="627"/>
      <c r="K44" s="627"/>
      <c r="L44" s="627"/>
      <c r="M44" s="627"/>
      <c r="N44" s="627"/>
      <c r="O44" s="645"/>
      <c r="P44" s="508"/>
      <c r="Q44" s="651"/>
      <c r="R44" s="645"/>
      <c r="S44" s="645"/>
      <c r="T44" s="645"/>
      <c r="U44" s="645"/>
      <c r="V44" s="645"/>
      <c r="W44" s="645"/>
      <c r="X44" s="645"/>
      <c r="Y44" s="645"/>
      <c r="Z44" s="645"/>
      <c r="AA44" s="667"/>
      <c r="AB44" s="627"/>
      <c r="AC44" s="508"/>
      <c r="AD44" s="6"/>
      <c r="AE44" s="6"/>
      <c r="AF44" s="6"/>
      <c r="AG44" s="6"/>
      <c r="AH44" s="6"/>
      <c r="AI44" s="6"/>
      <c r="AJ44" s="6"/>
    </row>
    <row r="45" spans="1:36" x14ac:dyDescent="0.2">
      <c r="A45" s="627" t="s">
        <v>422</v>
      </c>
      <c r="B45" s="627"/>
      <c r="C45" s="627"/>
      <c r="D45" s="627"/>
      <c r="E45" s="627"/>
      <c r="F45" s="627"/>
      <c r="G45" s="627"/>
      <c r="H45" s="627"/>
      <c r="I45" s="627"/>
      <c r="J45" s="627"/>
      <c r="K45" s="627"/>
      <c r="L45" s="627"/>
      <c r="M45" s="627"/>
      <c r="N45" s="627"/>
      <c r="O45" s="645"/>
      <c r="P45" s="645"/>
      <c r="Q45" s="651"/>
      <c r="R45" s="645"/>
      <c r="S45" s="645"/>
      <c r="T45" s="645"/>
      <c r="U45" s="645"/>
      <c r="V45" s="645"/>
      <c r="W45" s="645"/>
      <c r="X45" s="645"/>
      <c r="Y45" s="645"/>
      <c r="Z45" s="645"/>
      <c r="AA45" s="667"/>
      <c r="AB45" s="627"/>
      <c r="AC45" s="508"/>
      <c r="AD45" s="6"/>
      <c r="AE45" s="6"/>
      <c r="AF45" s="6"/>
      <c r="AG45" s="6"/>
      <c r="AH45" s="6"/>
      <c r="AI45" s="6"/>
      <c r="AJ45" s="6"/>
    </row>
    <row r="46" spans="1:36" x14ac:dyDescent="0.2">
      <c r="A46" s="645"/>
      <c r="B46" s="674" t="s">
        <v>197</v>
      </c>
      <c r="C46" s="627"/>
      <c r="D46" s="627"/>
      <c r="E46" s="627"/>
      <c r="F46" s="627"/>
      <c r="G46" s="627"/>
      <c r="H46" s="627"/>
      <c r="I46" s="627"/>
      <c r="J46" s="627"/>
      <c r="K46" s="627"/>
      <c r="L46" s="645"/>
      <c r="M46" s="645"/>
      <c r="N46" s="645"/>
      <c r="O46" s="645"/>
      <c r="P46" s="645"/>
      <c r="Q46" s="651"/>
      <c r="R46" s="645"/>
      <c r="S46" s="645"/>
      <c r="T46" s="645"/>
      <c r="U46" s="645"/>
      <c r="V46" s="645"/>
      <c r="W46" s="645"/>
      <c r="X46" s="645"/>
      <c r="Y46" s="645"/>
      <c r="Z46" s="645"/>
      <c r="AA46" s="667"/>
      <c r="AB46" s="645"/>
      <c r="AC46" s="508"/>
      <c r="AD46" s="6"/>
      <c r="AE46" s="6"/>
      <c r="AF46" s="6"/>
      <c r="AG46" s="6"/>
      <c r="AH46" s="6"/>
      <c r="AI46" s="6"/>
      <c r="AJ46" s="6"/>
    </row>
    <row r="47" spans="1:36" x14ac:dyDescent="0.2">
      <c r="A47" s="675" t="s">
        <v>199</v>
      </c>
      <c r="B47" s="645"/>
      <c r="C47" s="645"/>
      <c r="D47" s="645"/>
      <c r="E47" s="645"/>
      <c r="F47" s="645"/>
      <c r="G47" s="645"/>
      <c r="H47" s="645"/>
      <c r="I47" s="645"/>
      <c r="J47" s="645"/>
      <c r="K47" s="645"/>
      <c r="L47" s="645"/>
      <c r="M47" s="645"/>
      <c r="N47" s="645"/>
      <c r="O47" s="645"/>
      <c r="P47" s="645"/>
      <c r="Q47" s="651"/>
      <c r="R47" s="645"/>
      <c r="S47" s="645"/>
      <c r="T47" s="645"/>
      <c r="U47" s="645"/>
      <c r="V47" s="645"/>
      <c r="W47" s="645"/>
      <c r="X47" s="645"/>
      <c r="Y47" s="645"/>
      <c r="Z47" s="645"/>
      <c r="AA47" s="667"/>
      <c r="AB47" s="645"/>
      <c r="AC47" s="508"/>
      <c r="AD47" s="6"/>
      <c r="AE47" s="6"/>
      <c r="AF47" s="6"/>
      <c r="AG47" s="6"/>
      <c r="AH47" s="6"/>
      <c r="AI47" s="6"/>
      <c r="AJ47" s="6"/>
    </row>
    <row r="48" spans="1:36" x14ac:dyDescent="0.2">
      <c r="A48" s="675" t="s">
        <v>200</v>
      </c>
      <c r="B48" s="645"/>
      <c r="C48" s="645"/>
      <c r="D48" s="645"/>
      <c r="E48" s="645"/>
      <c r="F48" s="645"/>
      <c r="G48" s="645"/>
      <c r="H48" s="645"/>
      <c r="I48" s="645"/>
      <c r="J48" s="645"/>
      <c r="K48" s="645"/>
      <c r="L48" s="645"/>
      <c r="M48" s="645"/>
      <c r="N48" s="645"/>
      <c r="O48" s="645"/>
      <c r="P48" s="645"/>
      <c r="Q48" s="651"/>
      <c r="R48" s="645"/>
      <c r="S48" s="645"/>
      <c r="T48" s="645"/>
      <c r="U48" s="645"/>
      <c r="V48" s="645"/>
      <c r="W48" s="645"/>
      <c r="X48" s="645"/>
      <c r="Y48" s="645"/>
      <c r="Z48" s="645"/>
      <c r="AA48" s="667"/>
      <c r="AB48" s="645"/>
      <c r="AC48" s="508"/>
      <c r="AD48" s="6"/>
      <c r="AE48" s="6"/>
      <c r="AF48" s="6"/>
      <c r="AG48" s="6"/>
      <c r="AH48" s="6"/>
      <c r="AI48" s="6"/>
      <c r="AJ48" s="6"/>
    </row>
    <row r="49" spans="1:36" x14ac:dyDescent="0.2">
      <c r="A49" s="675" t="s">
        <v>201</v>
      </c>
      <c r="B49" s="645"/>
      <c r="C49" s="645"/>
      <c r="D49" s="645"/>
      <c r="E49" s="645"/>
      <c r="F49" s="645"/>
      <c r="G49" s="645"/>
      <c r="H49" s="645"/>
      <c r="I49" s="645"/>
      <c r="J49" s="645"/>
      <c r="K49" s="645"/>
      <c r="L49" s="645"/>
      <c r="M49" s="645"/>
      <c r="N49" s="645"/>
      <c r="O49" s="645"/>
      <c r="P49" s="645"/>
      <c r="Q49" s="651"/>
      <c r="R49" s="645"/>
      <c r="S49" s="645"/>
      <c r="T49" s="645"/>
      <c r="U49" s="645"/>
      <c r="V49" s="645"/>
      <c r="W49" s="645"/>
      <c r="X49" s="645"/>
      <c r="Y49" s="645"/>
      <c r="Z49" s="645"/>
      <c r="AA49" s="667"/>
      <c r="AB49" s="645"/>
      <c r="AC49" s="508"/>
      <c r="AD49" s="6"/>
      <c r="AE49" s="6"/>
      <c r="AF49" s="6"/>
      <c r="AG49" s="6"/>
      <c r="AH49" s="6"/>
      <c r="AI49" s="6"/>
      <c r="AJ49" s="6"/>
    </row>
    <row r="50" spans="1:36" x14ac:dyDescent="0.2">
      <c r="A50" s="675" t="s">
        <v>202</v>
      </c>
      <c r="B50" s="645"/>
      <c r="C50" s="645"/>
      <c r="D50" s="645"/>
      <c r="E50" s="645"/>
      <c r="F50" s="645"/>
      <c r="G50" s="645"/>
      <c r="H50" s="645"/>
      <c r="I50" s="645"/>
      <c r="J50" s="645"/>
      <c r="K50" s="645"/>
      <c r="L50" s="645"/>
      <c r="M50" s="645"/>
      <c r="N50" s="645"/>
      <c r="O50" s="645"/>
      <c r="P50" s="645"/>
      <c r="Q50" s="651"/>
      <c r="R50" s="645"/>
      <c r="S50" s="645"/>
      <c r="T50" s="645"/>
      <c r="U50" s="645"/>
      <c r="V50" s="645"/>
      <c r="W50" s="645"/>
      <c r="X50" s="645"/>
      <c r="Y50" s="645"/>
      <c r="Z50" s="645"/>
      <c r="AA50" s="667"/>
      <c r="AB50" s="645"/>
      <c r="AC50" s="508"/>
      <c r="AD50" s="6"/>
      <c r="AE50" s="6"/>
      <c r="AF50" s="6"/>
      <c r="AG50" s="6"/>
      <c r="AH50" s="6"/>
      <c r="AI50" s="6"/>
      <c r="AJ50" s="6"/>
    </row>
    <row r="51" spans="1:36" x14ac:dyDescent="0.2">
      <c r="A51" s="675" t="s">
        <v>203</v>
      </c>
      <c r="B51" s="645"/>
      <c r="C51" s="645"/>
      <c r="D51" s="645"/>
      <c r="E51" s="645"/>
      <c r="F51" s="645"/>
      <c r="G51" s="645"/>
      <c r="H51" s="645"/>
      <c r="I51" s="645"/>
      <c r="J51" s="645"/>
      <c r="K51" s="645"/>
      <c r="L51" s="645"/>
      <c r="M51" s="645"/>
      <c r="N51" s="645"/>
      <c r="O51" s="627"/>
      <c r="P51" s="645"/>
      <c r="Q51" s="651"/>
      <c r="R51" s="645"/>
      <c r="S51" s="645"/>
      <c r="T51" s="645"/>
      <c r="U51" s="645"/>
      <c r="V51" s="645"/>
      <c r="W51" s="645"/>
      <c r="X51" s="645"/>
      <c r="Y51" s="645"/>
      <c r="Z51" s="645"/>
      <c r="AA51" s="667"/>
      <c r="AB51" s="645"/>
      <c r="AC51" s="508"/>
      <c r="AD51" s="6"/>
      <c r="AE51" s="6"/>
      <c r="AF51" s="6"/>
      <c r="AG51" s="6"/>
      <c r="AH51" s="6"/>
      <c r="AI51" s="6"/>
      <c r="AJ51" s="6"/>
    </row>
    <row r="52" spans="1:36" x14ac:dyDescent="0.2">
      <c r="A52" s="675" t="s">
        <v>204</v>
      </c>
      <c r="B52" s="645"/>
      <c r="C52" s="645"/>
      <c r="D52" s="645"/>
      <c r="E52" s="645"/>
      <c r="F52" s="645"/>
      <c r="G52" s="645"/>
      <c r="H52" s="645"/>
      <c r="I52" s="645"/>
      <c r="J52" s="645"/>
      <c r="K52" s="645"/>
      <c r="L52" s="645"/>
      <c r="M52" s="645"/>
      <c r="N52" s="645"/>
      <c r="O52" s="627"/>
      <c r="P52" s="645"/>
      <c r="Q52" s="651"/>
      <c r="R52" s="645"/>
      <c r="S52" s="645"/>
      <c r="T52" s="645"/>
      <c r="U52" s="645"/>
      <c r="V52" s="645"/>
      <c r="W52" s="645"/>
      <c r="X52" s="645"/>
      <c r="Y52" s="645"/>
      <c r="Z52" s="645"/>
      <c r="AA52" s="667"/>
      <c r="AB52" s="645"/>
      <c r="AC52" s="508"/>
      <c r="AD52" s="6"/>
      <c r="AE52" s="6"/>
      <c r="AF52" s="6"/>
      <c r="AG52" s="6"/>
      <c r="AH52" s="6"/>
      <c r="AI52" s="6"/>
      <c r="AJ52" s="6"/>
    </row>
    <row r="53" spans="1:36" x14ac:dyDescent="0.2">
      <c r="A53" s="676" t="s">
        <v>427</v>
      </c>
      <c r="B53" s="645"/>
      <c r="C53" s="645"/>
      <c r="D53" s="645"/>
      <c r="E53" s="645"/>
      <c r="F53" s="645"/>
      <c r="G53" s="645"/>
      <c r="H53" s="645"/>
      <c r="I53" s="645"/>
      <c r="J53" s="645"/>
      <c r="K53" s="645"/>
      <c r="L53" s="645"/>
      <c r="M53" s="645"/>
      <c r="N53" s="645"/>
      <c r="O53" s="645"/>
      <c r="P53" s="645"/>
      <c r="Q53" s="654"/>
      <c r="R53" s="655"/>
      <c r="S53" s="655"/>
      <c r="T53" s="655"/>
      <c r="U53" s="655"/>
      <c r="V53" s="655"/>
      <c r="W53" s="655"/>
      <c r="X53" s="655"/>
      <c r="Y53" s="655"/>
      <c r="Z53" s="655"/>
      <c r="AA53" s="669"/>
      <c r="AB53" s="645"/>
      <c r="AC53" s="508"/>
      <c r="AD53" s="6"/>
      <c r="AE53" s="6"/>
      <c r="AF53" s="6"/>
      <c r="AG53" s="6"/>
      <c r="AH53" s="6"/>
      <c r="AI53" s="6"/>
      <c r="AJ53" s="6"/>
    </row>
    <row r="54" spans="1:36" x14ac:dyDescent="0.2">
      <c r="A54" s="627" t="s">
        <v>428</v>
      </c>
      <c r="B54" s="645"/>
      <c r="C54" s="645"/>
      <c r="D54" s="645"/>
      <c r="E54" s="645"/>
      <c r="F54" s="627"/>
      <c r="G54" s="627"/>
      <c r="H54" s="627"/>
      <c r="I54" s="627"/>
      <c r="J54" s="627"/>
      <c r="K54" s="627"/>
      <c r="L54" s="627"/>
      <c r="M54" s="627"/>
      <c r="N54" s="627"/>
      <c r="O54" s="627"/>
      <c r="P54" s="645"/>
      <c r="Q54" s="645"/>
      <c r="R54" s="645"/>
      <c r="S54" s="645"/>
      <c r="T54" s="645"/>
      <c r="U54" s="645"/>
      <c r="V54" s="645"/>
      <c r="W54" s="645"/>
      <c r="X54" s="645"/>
      <c r="Y54" s="645"/>
      <c r="Z54" s="645"/>
      <c r="AA54" s="645"/>
      <c r="AB54" s="645"/>
      <c r="AC54" s="508"/>
      <c r="AD54" s="6"/>
      <c r="AE54" s="6"/>
      <c r="AF54" s="6"/>
      <c r="AG54" s="6"/>
      <c r="AH54" s="6"/>
      <c r="AI54" s="6"/>
      <c r="AJ54" s="6"/>
    </row>
    <row r="55" spans="1:36" x14ac:dyDescent="0.2">
      <c r="A55" s="675" t="s">
        <v>680</v>
      </c>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508"/>
      <c r="AD55" s="6"/>
      <c r="AE55" s="6"/>
      <c r="AF55" s="6"/>
      <c r="AG55" s="6"/>
      <c r="AH55" s="6"/>
      <c r="AI55" s="6"/>
      <c r="AJ55" s="6"/>
    </row>
    <row r="56" spans="1:36" x14ac:dyDescent="0.2">
      <c r="A56" s="627" t="s">
        <v>423</v>
      </c>
      <c r="B56" s="645"/>
      <c r="C56" s="645"/>
      <c r="D56" s="645"/>
      <c r="E56" s="645"/>
      <c r="F56" s="627"/>
      <c r="G56" s="627"/>
      <c r="H56" s="627"/>
      <c r="I56" s="627"/>
      <c r="J56" s="627"/>
      <c r="K56" s="627"/>
      <c r="L56" s="627"/>
      <c r="M56" s="627"/>
      <c r="N56" s="627"/>
      <c r="O56" s="627"/>
      <c r="P56" s="645"/>
      <c r="Q56" s="645"/>
      <c r="R56" s="645"/>
      <c r="S56" s="645"/>
      <c r="T56" s="645"/>
      <c r="U56" s="645"/>
      <c r="V56" s="645"/>
      <c r="W56" s="645"/>
      <c r="X56" s="645"/>
      <c r="Y56" s="645"/>
      <c r="Z56" s="645"/>
      <c r="AA56" s="645"/>
      <c r="AB56" s="645"/>
      <c r="AC56" s="508"/>
      <c r="AD56" s="6"/>
      <c r="AE56" s="6"/>
      <c r="AF56" s="6"/>
      <c r="AG56" s="6"/>
      <c r="AH56" s="6"/>
      <c r="AI56" s="6"/>
      <c r="AJ56" s="6"/>
    </row>
    <row r="57" spans="1:36" x14ac:dyDescent="0.2">
      <c r="A57" s="675" t="s">
        <v>187</v>
      </c>
      <c r="B57" s="645"/>
      <c r="C57" s="645"/>
      <c r="D57" s="645"/>
      <c r="E57" s="645"/>
      <c r="F57" s="627"/>
      <c r="G57" s="627"/>
      <c r="H57" s="627"/>
      <c r="I57" s="627"/>
      <c r="J57" s="627"/>
      <c r="K57" s="627"/>
      <c r="L57" s="627"/>
      <c r="M57" s="627"/>
      <c r="N57" s="627"/>
      <c r="O57" s="627"/>
      <c r="P57" s="645"/>
      <c r="Q57" s="645"/>
      <c r="R57" s="645"/>
      <c r="S57" s="645"/>
      <c r="T57" s="645"/>
      <c r="U57" s="645"/>
      <c r="V57" s="645"/>
      <c r="W57" s="645"/>
      <c r="X57" s="645"/>
      <c r="Y57" s="645"/>
      <c r="Z57" s="645"/>
      <c r="AA57" s="645"/>
      <c r="AB57" s="645"/>
      <c r="AC57" s="508"/>
      <c r="AD57" s="6"/>
      <c r="AE57" s="6"/>
      <c r="AF57" s="6"/>
      <c r="AG57" s="6"/>
      <c r="AH57" s="6"/>
      <c r="AI57" s="6"/>
      <c r="AJ57" s="6"/>
    </row>
    <row r="58" spans="1:36" x14ac:dyDescent="0.2">
      <c r="A58" s="675" t="s">
        <v>188</v>
      </c>
      <c r="B58" s="645"/>
      <c r="C58" s="645"/>
      <c r="D58" s="645"/>
      <c r="E58" s="645"/>
      <c r="F58" s="627"/>
      <c r="G58" s="627"/>
      <c r="H58" s="627"/>
      <c r="I58" s="627"/>
      <c r="J58" s="627"/>
      <c r="K58" s="645"/>
      <c r="L58" s="627"/>
      <c r="M58" s="627"/>
      <c r="N58" s="627"/>
      <c r="O58" s="627"/>
      <c r="P58" s="645"/>
      <c r="Q58" s="645"/>
      <c r="R58" s="645"/>
      <c r="S58" s="645"/>
      <c r="T58" s="645"/>
      <c r="U58" s="645"/>
      <c r="V58" s="645"/>
      <c r="W58" s="645"/>
      <c r="X58" s="645"/>
      <c r="Y58" s="645"/>
      <c r="Z58" s="645"/>
      <c r="AA58" s="645"/>
      <c r="AB58" s="645"/>
      <c r="AC58" s="508"/>
      <c r="AD58" s="6"/>
      <c r="AE58" s="6"/>
      <c r="AF58" s="6"/>
      <c r="AG58" s="6"/>
      <c r="AH58" s="6"/>
      <c r="AI58" s="6"/>
      <c r="AJ58" s="6"/>
    </row>
    <row r="59" spans="1:36" x14ac:dyDescent="0.2">
      <c r="A59" s="645"/>
      <c r="B59" s="638" t="s">
        <v>586</v>
      </c>
      <c r="C59" s="645"/>
      <c r="D59" s="645"/>
      <c r="E59" s="645"/>
      <c r="F59" s="627"/>
      <c r="G59" s="627"/>
      <c r="H59" s="627"/>
      <c r="I59" s="627"/>
      <c r="J59" s="627"/>
      <c r="K59" s="645"/>
      <c r="L59" s="627"/>
      <c r="M59" s="627"/>
      <c r="N59" s="627"/>
      <c r="O59" s="627"/>
      <c r="P59" s="645"/>
      <c r="Q59" s="645"/>
      <c r="R59" s="645"/>
      <c r="S59" s="645"/>
      <c r="T59" s="645"/>
      <c r="U59" s="645"/>
      <c r="V59" s="645"/>
      <c r="W59" s="645"/>
      <c r="X59" s="645"/>
      <c r="Y59" s="645"/>
      <c r="Z59" s="645"/>
      <c r="AA59" s="645"/>
      <c r="AB59" s="645"/>
      <c r="AC59" s="508"/>
      <c r="AD59" s="6"/>
      <c r="AE59" s="6"/>
      <c r="AF59" s="6"/>
      <c r="AG59" s="6"/>
      <c r="AH59" s="6"/>
      <c r="AI59" s="6"/>
      <c r="AJ59" s="6"/>
    </row>
    <row r="60" spans="1:36" x14ac:dyDescent="0.2">
      <c r="A60" s="627" t="s">
        <v>424</v>
      </c>
      <c r="B60" s="645"/>
      <c r="C60" s="645"/>
      <c r="D60" s="645"/>
      <c r="E60" s="645"/>
      <c r="F60" s="645"/>
      <c r="G60" s="645"/>
      <c r="H60" s="645"/>
      <c r="I60" s="627"/>
      <c r="J60" s="627"/>
      <c r="K60" s="645"/>
      <c r="L60" s="627"/>
      <c r="M60" s="627"/>
      <c r="N60" s="627"/>
      <c r="O60" s="627"/>
      <c r="P60" s="645"/>
      <c r="Q60" s="645"/>
      <c r="R60" s="645"/>
      <c r="S60" s="645"/>
      <c r="T60" s="645"/>
      <c r="U60" s="645"/>
      <c r="V60" s="645"/>
      <c r="W60" s="645"/>
      <c r="X60" s="645"/>
      <c r="Y60" s="645"/>
      <c r="Z60" s="645"/>
      <c r="AA60" s="645"/>
      <c r="AB60" s="645"/>
      <c r="AC60" s="508"/>
      <c r="AD60" s="6"/>
      <c r="AE60" s="6"/>
      <c r="AF60" s="6"/>
      <c r="AG60" s="6"/>
      <c r="AH60" s="6"/>
      <c r="AI60" s="6"/>
      <c r="AJ60" s="6"/>
    </row>
    <row r="61" spans="1:36" x14ac:dyDescent="0.2">
      <c r="A61" s="645"/>
      <c r="B61" s="638" t="s">
        <v>587</v>
      </c>
      <c r="C61" s="645"/>
      <c r="D61" s="645"/>
      <c r="E61" s="645"/>
      <c r="F61" s="645"/>
      <c r="G61" s="645"/>
      <c r="H61" s="645"/>
      <c r="I61" s="627"/>
      <c r="J61" s="627"/>
      <c r="K61" s="645"/>
      <c r="L61" s="627"/>
      <c r="M61" s="627"/>
      <c r="N61" s="627"/>
      <c r="O61" s="627"/>
      <c r="P61" s="645"/>
      <c r="Q61" s="645"/>
      <c r="R61" s="645"/>
      <c r="S61" s="645"/>
      <c r="T61" s="645"/>
      <c r="U61" s="645"/>
      <c r="V61" s="645"/>
      <c r="W61" s="645"/>
      <c r="X61" s="645"/>
      <c r="Y61" s="645"/>
      <c r="Z61" s="645"/>
      <c r="AA61" s="645"/>
      <c r="AB61" s="645"/>
      <c r="AC61" s="508"/>
      <c r="AD61" s="6"/>
      <c r="AE61" s="6"/>
      <c r="AF61" s="6"/>
      <c r="AG61" s="6"/>
      <c r="AH61" s="6"/>
      <c r="AI61" s="6"/>
      <c r="AJ61" s="6"/>
    </row>
    <row r="62" spans="1:36" x14ac:dyDescent="0.2">
      <c r="A62" s="627" t="s">
        <v>425</v>
      </c>
      <c r="B62" s="645"/>
      <c r="C62" s="645"/>
      <c r="D62" s="645"/>
      <c r="E62" s="645"/>
      <c r="F62" s="645"/>
      <c r="G62" s="645"/>
      <c r="H62" s="645"/>
      <c r="I62" s="645"/>
      <c r="J62" s="645"/>
      <c r="K62" s="645"/>
      <c r="L62" s="645"/>
      <c r="M62" s="627"/>
      <c r="N62" s="645"/>
      <c r="O62" s="645"/>
      <c r="P62" s="645"/>
      <c r="Q62" s="645"/>
      <c r="R62" s="645"/>
      <c r="S62" s="645"/>
      <c r="T62" s="508"/>
      <c r="U62" s="508"/>
      <c r="V62" s="508"/>
      <c r="W62" s="508"/>
      <c r="X62" s="1245">
        <f>Datos!K60</f>
        <v>0</v>
      </c>
      <c r="Y62" s="1245"/>
      <c r="Z62" s="1245"/>
      <c r="AA62" s="1245"/>
      <c r="AB62" s="645"/>
      <c r="AC62" s="508"/>
      <c r="AD62" s="6"/>
      <c r="AE62" s="6"/>
      <c r="AF62" s="6"/>
      <c r="AG62" s="6"/>
      <c r="AH62" s="6"/>
      <c r="AI62" s="6"/>
      <c r="AJ62" s="6"/>
    </row>
    <row r="63" spans="1:36" x14ac:dyDescent="0.2">
      <c r="A63" s="627" t="s">
        <v>667</v>
      </c>
      <c r="B63" s="645"/>
      <c r="C63" s="645"/>
      <c r="D63" s="645"/>
      <c r="E63" s="645"/>
      <c r="F63" s="645"/>
      <c r="G63" s="645"/>
      <c r="H63" s="645"/>
      <c r="I63" s="645"/>
      <c r="J63" s="645"/>
      <c r="K63" s="645"/>
      <c r="L63" s="645"/>
      <c r="M63" s="645"/>
      <c r="N63" s="645"/>
      <c r="O63" s="645"/>
      <c r="P63" s="645"/>
      <c r="Q63" s="645"/>
      <c r="R63" s="645"/>
      <c r="S63" s="645"/>
      <c r="T63" s="645"/>
      <c r="U63" s="645"/>
      <c r="V63" s="508"/>
      <c r="W63" s="508"/>
      <c r="X63" s="508"/>
      <c r="Y63" s="508"/>
      <c r="Z63" s="645"/>
      <c r="AA63" s="645"/>
      <c r="AB63" s="645"/>
      <c r="AC63" s="508"/>
      <c r="AD63" s="6"/>
      <c r="AE63" s="6"/>
      <c r="AF63" s="6"/>
      <c r="AG63" s="6"/>
      <c r="AH63" s="6"/>
      <c r="AI63" s="6"/>
      <c r="AJ63" s="6"/>
    </row>
    <row r="64" spans="1:36" x14ac:dyDescent="0.2">
      <c r="A64" s="645"/>
      <c r="B64" s="638" t="s">
        <v>588</v>
      </c>
      <c r="C64" s="645"/>
      <c r="D64" s="645"/>
      <c r="E64" s="645"/>
      <c r="F64" s="645"/>
      <c r="G64" s="645"/>
      <c r="H64" s="645"/>
      <c r="I64" s="645"/>
      <c r="J64" s="627"/>
      <c r="K64" s="645"/>
      <c r="L64" s="645"/>
      <c r="M64" s="645"/>
      <c r="N64" s="645"/>
      <c r="O64" s="645"/>
      <c r="P64" s="645"/>
      <c r="Q64" s="645"/>
      <c r="R64" s="645"/>
      <c r="S64" s="645"/>
      <c r="T64" s="645"/>
      <c r="U64" s="645"/>
      <c r="V64" s="645"/>
      <c r="W64" s="645"/>
      <c r="X64" s="645"/>
      <c r="Y64" s="645"/>
      <c r="Z64" s="645"/>
      <c r="AA64" s="645"/>
      <c r="AB64" s="645"/>
      <c r="AC64" s="508"/>
      <c r="AD64" s="6"/>
      <c r="AE64" s="6"/>
      <c r="AF64" s="6"/>
      <c r="AG64" s="6"/>
      <c r="AH64" s="6"/>
      <c r="AI64" s="6"/>
      <c r="AJ64" s="6"/>
    </row>
    <row r="65" spans="1:36" x14ac:dyDescent="0.2">
      <c r="A65" s="627" t="s">
        <v>426</v>
      </c>
      <c r="B65" s="645"/>
      <c r="C65" s="645"/>
      <c r="D65" s="233"/>
      <c r="E65" s="626"/>
      <c r="F65" s="626"/>
      <c r="G65" s="626"/>
      <c r="H65" s="1245">
        <f>Datos!K59</f>
        <v>0</v>
      </c>
      <c r="I65" s="1245"/>
      <c r="J65" s="1245"/>
      <c r="K65" s="645"/>
      <c r="L65" s="645"/>
      <c r="M65" s="645"/>
      <c r="N65" s="645"/>
      <c r="O65" s="645"/>
      <c r="P65" s="645"/>
      <c r="Q65" s="645"/>
      <c r="R65" s="645"/>
      <c r="S65" s="645"/>
      <c r="T65" s="645"/>
      <c r="U65" s="645"/>
      <c r="V65" s="645"/>
      <c r="W65" s="627"/>
      <c r="X65" s="645"/>
      <c r="Y65" s="645"/>
      <c r="Z65" s="645"/>
      <c r="AA65" s="645"/>
      <c r="AB65" s="645"/>
      <c r="AC65" s="508"/>
      <c r="AD65" s="6"/>
      <c r="AE65" s="6"/>
      <c r="AF65" s="6"/>
      <c r="AG65" s="6"/>
      <c r="AH65" s="6"/>
      <c r="AI65" s="6"/>
      <c r="AJ65" s="6"/>
    </row>
    <row r="66" spans="1:36" x14ac:dyDescent="0.2">
      <c r="A66" s="645"/>
      <c r="B66" s="645"/>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508"/>
      <c r="AD66" s="6"/>
      <c r="AE66" s="6"/>
      <c r="AF66" s="6"/>
      <c r="AG66" s="6"/>
      <c r="AH66" s="6"/>
      <c r="AI66" s="6"/>
      <c r="AJ66" s="6"/>
    </row>
    <row r="67" spans="1:36" x14ac:dyDescent="0.2">
      <c r="A67" s="645"/>
      <c r="B67" s="645"/>
      <c r="C67" s="645"/>
      <c r="D67" s="645"/>
      <c r="E67" s="645"/>
      <c r="F67" s="627"/>
      <c r="G67" s="627"/>
      <c r="H67" s="645"/>
      <c r="I67" s="645"/>
      <c r="J67" s="645"/>
      <c r="K67" s="645"/>
      <c r="L67" s="645"/>
      <c r="M67" s="645"/>
      <c r="N67" s="645"/>
      <c r="O67" s="645"/>
      <c r="P67" s="645"/>
      <c r="Q67" s="645"/>
      <c r="R67" s="645"/>
      <c r="S67" s="645"/>
      <c r="T67" s="645"/>
      <c r="U67" s="645"/>
      <c r="V67" s="645"/>
      <c r="W67" s="645"/>
      <c r="X67" s="645"/>
      <c r="Y67" s="645"/>
      <c r="Z67" s="645"/>
      <c r="AA67" s="645"/>
      <c r="AB67" s="645"/>
      <c r="AC67" s="508"/>
      <c r="AD67" s="6"/>
      <c r="AE67" s="6"/>
      <c r="AF67" s="6"/>
      <c r="AG67" s="6"/>
      <c r="AH67" s="6"/>
      <c r="AI67" s="6"/>
      <c r="AJ67" s="6"/>
    </row>
    <row r="68" spans="1:36" x14ac:dyDescent="0.2">
      <c r="A68" s="508"/>
      <c r="B68" s="508"/>
      <c r="C68" s="508"/>
      <c r="D68" s="508"/>
      <c r="E68" s="508"/>
      <c r="F68" s="508"/>
      <c r="G68" s="508"/>
      <c r="H68" s="508"/>
      <c r="I68" s="508"/>
      <c r="J68" s="508"/>
      <c r="K68" s="508"/>
      <c r="L68" s="508"/>
      <c r="M68" s="508"/>
      <c r="N68" s="508"/>
      <c r="O68" s="645"/>
      <c r="P68" s="508"/>
      <c r="Q68" s="508"/>
      <c r="R68" s="508"/>
      <c r="S68" s="508"/>
      <c r="T68" s="508"/>
      <c r="U68" s="508"/>
      <c r="V68" s="508"/>
      <c r="W68" s="508"/>
      <c r="X68" s="508"/>
      <c r="Y68" s="508"/>
      <c r="Z68" s="508"/>
      <c r="AA68" s="508"/>
      <c r="AB68" s="508"/>
      <c r="AC68" s="508"/>
      <c r="AD68" s="6"/>
      <c r="AE68" s="6"/>
      <c r="AF68" s="6"/>
      <c r="AG68" s="6"/>
      <c r="AH68" s="6"/>
      <c r="AI68" s="6"/>
      <c r="AJ68" s="6"/>
    </row>
    <row r="69" spans="1:36" x14ac:dyDescent="0.2">
      <c r="A69" s="508"/>
      <c r="B69" s="508"/>
      <c r="C69" s="508"/>
      <c r="D69" s="508"/>
      <c r="E69" s="655"/>
      <c r="F69" s="657"/>
      <c r="G69" s="655"/>
      <c r="H69" s="655"/>
      <c r="I69" s="655"/>
      <c r="J69" s="657"/>
      <c r="K69" s="655"/>
      <c r="L69" s="655"/>
      <c r="M69" s="655"/>
      <c r="N69" s="645"/>
      <c r="O69" s="645"/>
      <c r="P69" s="645"/>
      <c r="Q69" s="655"/>
      <c r="R69" s="655"/>
      <c r="S69" s="655"/>
      <c r="T69" s="597"/>
      <c r="U69" s="597"/>
      <c r="V69" s="655"/>
      <c r="W69" s="655"/>
      <c r="X69" s="655"/>
      <c r="Y69" s="655"/>
      <c r="Z69" s="508"/>
      <c r="AA69" s="508"/>
      <c r="AB69" s="508"/>
      <c r="AC69" s="508"/>
      <c r="AD69" s="6"/>
      <c r="AE69" s="6"/>
      <c r="AF69" s="6"/>
      <c r="AG69" s="6"/>
      <c r="AH69" s="6"/>
      <c r="AI69" s="6"/>
      <c r="AJ69" s="6"/>
    </row>
    <row r="70" spans="1:36" x14ac:dyDescent="0.2">
      <c r="A70" s="508"/>
      <c r="B70" s="508"/>
      <c r="C70" s="508"/>
      <c r="D70" s="508"/>
      <c r="E70" s="645"/>
      <c r="F70" s="645"/>
      <c r="G70" s="645"/>
      <c r="H70" s="645"/>
      <c r="I70" s="636" t="s">
        <v>160</v>
      </c>
      <c r="J70" s="627"/>
      <c r="K70" s="645"/>
      <c r="L70" s="645"/>
      <c r="M70" s="645"/>
      <c r="N70" s="645"/>
      <c r="O70" s="645"/>
      <c r="P70" s="645"/>
      <c r="Q70" s="645"/>
      <c r="R70" s="645"/>
      <c r="S70" s="645"/>
      <c r="T70" s="645"/>
      <c r="U70" s="636" t="s">
        <v>161</v>
      </c>
      <c r="V70" s="645"/>
      <c r="W70" s="645"/>
      <c r="X70" s="645"/>
      <c r="Y70" s="645"/>
      <c r="Z70" s="508"/>
      <c r="AA70" s="508"/>
      <c r="AB70" s="508"/>
      <c r="AC70" s="508"/>
      <c r="AD70" s="6"/>
      <c r="AE70" s="6"/>
      <c r="AF70" s="6"/>
      <c r="AG70" s="6"/>
      <c r="AH70" s="6"/>
      <c r="AI70" s="6"/>
      <c r="AJ70" s="6"/>
    </row>
    <row r="71" spans="1:36" x14ac:dyDescent="0.2">
      <c r="A71" s="627"/>
      <c r="B71" s="638"/>
      <c r="C71" s="508"/>
      <c r="D71" s="622"/>
      <c r="E71" s="645"/>
      <c r="F71" s="645">
        <f>Datos!K29</f>
        <v>0</v>
      </c>
      <c r="G71" s="645"/>
      <c r="H71" s="645"/>
      <c r="I71" s="645"/>
      <c r="J71" s="645"/>
      <c r="K71" s="645"/>
      <c r="L71" s="645"/>
      <c r="M71" s="645"/>
      <c r="N71" s="645"/>
      <c r="O71" s="508"/>
      <c r="P71" s="645"/>
      <c r="Q71" s="645"/>
      <c r="R71" s="233">
        <f>Datos!K18</f>
        <v>0</v>
      </c>
      <c r="S71" s="233"/>
      <c r="T71" s="645"/>
      <c r="U71" s="233"/>
      <c r="V71" s="233"/>
      <c r="W71" s="645"/>
      <c r="X71" s="645"/>
      <c r="Y71" s="645"/>
      <c r="Z71" s="508"/>
      <c r="AA71" s="508"/>
      <c r="AB71" s="508"/>
      <c r="AC71" s="508"/>
      <c r="AD71" s="6"/>
      <c r="AE71" s="6"/>
      <c r="AF71" s="6"/>
      <c r="AG71" s="6"/>
      <c r="AH71" s="6"/>
      <c r="AI71" s="6"/>
      <c r="AJ71" s="6"/>
    </row>
    <row r="72" spans="1:36" x14ac:dyDescent="0.2">
      <c r="A72" s="627"/>
      <c r="B72" s="627"/>
      <c r="C72" s="508"/>
      <c r="D72" s="508"/>
      <c r="E72" s="508"/>
      <c r="F72" s="508"/>
      <c r="G72" s="677" t="s">
        <v>317</v>
      </c>
      <c r="H72" s="508"/>
      <c r="I72" s="659">
        <f>Datos!K31</f>
        <v>0</v>
      </c>
      <c r="J72" s="233"/>
      <c r="K72" s="508"/>
      <c r="L72" s="508"/>
      <c r="M72" s="508"/>
      <c r="N72" s="508"/>
      <c r="O72" s="508"/>
      <c r="P72" s="508"/>
      <c r="Q72" s="508"/>
      <c r="R72" s="508"/>
      <c r="S72" s="660" t="s">
        <v>182</v>
      </c>
      <c r="T72" s="508"/>
      <c r="U72" s="508"/>
      <c r="V72" s="659">
        <f>Datos!K25</f>
        <v>0</v>
      </c>
      <c r="W72" s="508"/>
      <c r="X72" s="508"/>
      <c r="Y72" s="508"/>
      <c r="Z72" s="508"/>
      <c r="AA72" s="508"/>
      <c r="AB72" s="508"/>
      <c r="AC72" s="508"/>
      <c r="AD72" s="6"/>
      <c r="AE72" s="6"/>
      <c r="AF72" s="6"/>
      <c r="AG72" s="6"/>
      <c r="AH72" s="6"/>
      <c r="AI72" s="6"/>
      <c r="AJ72" s="6"/>
    </row>
    <row r="73" spans="1:36" x14ac:dyDescent="0.2">
      <c r="A73" s="508"/>
      <c r="B73" s="508"/>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6"/>
      <c r="AE73" s="6"/>
      <c r="AF73" s="6"/>
      <c r="AG73" s="6"/>
      <c r="AH73" s="6"/>
      <c r="AI73" s="6"/>
      <c r="AJ73" s="6"/>
    </row>
    <row r="74" spans="1:36" x14ac:dyDescent="0.2">
      <c r="A74" s="508"/>
      <c r="B74" s="508"/>
      <c r="C74" s="508"/>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6"/>
      <c r="AE74" s="6"/>
      <c r="AF74" s="6"/>
      <c r="AG74" s="6"/>
      <c r="AH74" s="6"/>
      <c r="AI74" s="6"/>
      <c r="AJ74" s="6"/>
    </row>
    <row r="75" spans="1:36" x14ac:dyDescent="0.2">
      <c r="A75" s="508"/>
      <c r="B75" s="508"/>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6"/>
      <c r="AE75" s="6"/>
      <c r="AF75" s="6"/>
      <c r="AG75" s="6"/>
      <c r="AH75" s="6"/>
      <c r="AI75" s="6"/>
      <c r="AJ75" s="6"/>
    </row>
    <row r="76" spans="1:36" x14ac:dyDescent="0.2">
      <c r="A76" s="508"/>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6"/>
      <c r="AE76" s="6"/>
      <c r="AF76" s="6"/>
      <c r="AG76" s="6"/>
      <c r="AH76" s="6"/>
      <c r="AI76" s="6"/>
      <c r="AJ76" s="6"/>
    </row>
    <row r="77" spans="1:36" x14ac:dyDescent="0.2">
      <c r="A77" s="508"/>
      <c r="B77" s="508"/>
      <c r="C77" s="508"/>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6"/>
      <c r="AE77" s="6"/>
      <c r="AF77" s="6"/>
      <c r="AG77" s="6"/>
      <c r="AH77" s="6"/>
      <c r="AI77" s="6"/>
      <c r="AJ77" s="6"/>
    </row>
    <row r="78" spans="1:36" x14ac:dyDescent="0.2">
      <c r="A78" s="508"/>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6"/>
      <c r="AE78" s="6"/>
      <c r="AF78" s="6"/>
      <c r="AG78" s="6"/>
      <c r="AH78" s="6"/>
      <c r="AI78" s="6"/>
      <c r="AJ78" s="6"/>
    </row>
    <row r="79" spans="1:36"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row>
    <row r="80" spans="1:36"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row>
    <row r="81" spans="1:36"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row>
    <row r="82" spans="1:36"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1:36"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1:36"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1:36"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6"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row>
    <row r="92" spans="1:36"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36"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row>
    <row r="98" spans="1:36"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sheetData>
  <sheetProtection password="F696" sheet="1" objects="1" scenarios="1"/>
  <customSheetViews>
    <customSheetView guid="{3DA56FC4-53DE-48E1-9C8B-99A7C6BEC59A}" showRuler="0">
      <selection activeCell="AB1" sqref="AB1"/>
      <pageMargins left="0.98425196850393704" right="0.59055118110236227" top="0.78740157480314965" bottom="0.98425196850393704" header="0" footer="0"/>
      <pageSetup paperSize="5" scale="96" orientation="portrait" horizontalDpi="300" verticalDpi="0" r:id="rId1"/>
      <headerFooter alignWithMargins="0"/>
    </customSheetView>
    <customSheetView guid="{3055A696-E36D-42C0-8DEA-BCF75BC71F7B}" topLeftCell="A13">
      <selection activeCell="T31" sqref="T31:X31"/>
      <pageMargins left="0.98425196850393704" right="0.59055118110236227" top="0.78740157480314965" bottom="0.98425196850393704" header="0" footer="0"/>
      <pageSetup paperSize="5" scale="96" orientation="portrait" horizontalDpi="300" verticalDpi="1200" r:id="rId2"/>
      <headerFooter alignWithMargins="0"/>
    </customSheetView>
  </customSheetViews>
  <mergeCells count="44">
    <mergeCell ref="X6:Z6"/>
    <mergeCell ref="R4:W4"/>
    <mergeCell ref="M6:R6"/>
    <mergeCell ref="L4:Q4"/>
    <mergeCell ref="J5:R5"/>
    <mergeCell ref="H11:M11"/>
    <mergeCell ref="M10:P10"/>
    <mergeCell ref="Q11:V11"/>
    <mergeCell ref="H1:T1"/>
    <mergeCell ref="H2:T2"/>
    <mergeCell ref="H3:T3"/>
    <mergeCell ref="S6:T6"/>
    <mergeCell ref="H65:J65"/>
    <mergeCell ref="A12:F12"/>
    <mergeCell ref="A10:J10"/>
    <mergeCell ref="E16:O16"/>
    <mergeCell ref="W15:AB15"/>
    <mergeCell ref="K17:L17"/>
    <mergeCell ref="P17:Q17"/>
    <mergeCell ref="X62:AA62"/>
    <mergeCell ref="A21:O21"/>
    <mergeCell ref="A28:J28"/>
    <mergeCell ref="K28:P28"/>
    <mergeCell ref="A22:D22"/>
    <mergeCell ref="A33:J33"/>
    <mergeCell ref="T31:X31"/>
    <mergeCell ref="F32:R32"/>
    <mergeCell ref="H25:P25"/>
    <mergeCell ref="C31:S31"/>
    <mergeCell ref="A8:C8"/>
    <mergeCell ref="A7:F7"/>
    <mergeCell ref="K8:T8"/>
    <mergeCell ref="Y34:Z34"/>
    <mergeCell ref="T34:X34"/>
    <mergeCell ref="A9:G9"/>
    <mergeCell ref="O15:Q15"/>
    <mergeCell ref="M7:Z7"/>
    <mergeCell ref="X10:AB10"/>
    <mergeCell ref="V8:W8"/>
    <mergeCell ref="K9:Q9"/>
    <mergeCell ref="H15:L15"/>
    <mergeCell ref="X12:Z12"/>
    <mergeCell ref="G7:H7"/>
    <mergeCell ref="O14:AB14"/>
  </mergeCells>
  <phoneticPr fontId="20" type="noConversion"/>
  <pageMargins left="0.98425196850393704" right="0.59055118110236227" top="0.78740157480314965" bottom="0.98425196850393704" header="0" footer="0"/>
  <pageSetup paperSize="5" scale="96" orientation="portrait" horizontalDpi="300" verticalDpi="12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indexed="43"/>
  </sheetPr>
  <dimension ref="A1:AV47"/>
  <sheetViews>
    <sheetView topLeftCell="A13" workbookViewId="0">
      <selection activeCell="A14" sqref="A14"/>
    </sheetView>
  </sheetViews>
  <sheetFormatPr baseColWidth="10" defaultRowHeight="12.75" x14ac:dyDescent="0.2"/>
  <cols>
    <col min="1" max="1" width="93.140625" customWidth="1"/>
  </cols>
  <sheetData>
    <row r="1" spans="1:48" x14ac:dyDescent="0.2">
      <c r="A1" s="679"/>
      <c r="B1" s="68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48" x14ac:dyDescent="0.2">
      <c r="A2" s="682"/>
      <c r="B2" s="68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48" ht="15" x14ac:dyDescent="0.2">
      <c r="A3" s="684"/>
      <c r="B3" s="68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48" x14ac:dyDescent="0.2">
      <c r="A4" s="682"/>
      <c r="B4" s="68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48" ht="15.75" customHeight="1" x14ac:dyDescent="0.2">
      <c r="A5" s="682"/>
      <c r="B5" s="68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48" ht="93" customHeight="1" x14ac:dyDescent="0.2">
      <c r="A6" s="685" t="str">
        <f>Cálculos!A8&amp;" "&amp;Cálculos!B8&amp;""&amp;Cálculos!C8&amp;" "&amp;Cálculos!D8&amp;" "&amp;Cálculos!E8&amp;" "&amp;Cálculos!F8&amp;" "&amp;Cálculos!G8&amp;" "&amp;Cálculos!H8&amp;" "&amp;Cálculos!I8&amp;" "&amp;Cálculos!J8&amp;" "&amp;Cálculos!A9&amp;" "&amp;Cálculos!B9&amp;""&amp;Cálculos!C9&amp;" "&amp;Cálculos!D9&amp;""&amp;Cálculos!E9&amp;" "&amp;Cálculos!F9&amp;" "&amp;Cálculos!G9&amp;" "&amp;Cálculos!H9&amp;" "&amp;Cálculos!I9&amp;" "&amp;Cálculos!J9&amp;" "&amp;Cálculos!A10&amp;" "&amp;Cálculos!B10&amp;" "&amp;Cálculos!C10&amp;""&amp;Cálculos!D10&amp;" "&amp;Cálculos!E10&amp;""&amp;Cálculos!F10&amp;" "&amp;Cálculos!G10&amp;""&amp;Cálculos!H10&amp;" "&amp;Cálculos!I10&amp;""&amp;Cálculos!J10&amp;" "&amp;Cálculos!A11&amp;" "&amp;Cálculos!B11&amp;" "&amp;Cálculos!C11&amp;" "&amp;Cálculos!D11&amp;""&amp;Cálculos!E11&amp;" "&amp;Cálculos!F11&amp;""&amp;Cálculos!G11&amp;" "&amp;Cálculos!H11&amp;""&amp;Cálculos!I11&amp;" "&amp;Cálculos!J11&amp;""&amp;Cálculos!A12&amp;" "&amp;Cálculos!B12&amp;" "&amp;Cálculos!C12&amp;" "&amp;Cálculos!D12&amp;""&amp;Cálculos!E12&amp;" "&amp;Cálculos!F12&amp;""&amp;Cálculos!G12&amp;" "&amp;Cálculos!H12&amp;""&amp;Cálculos!I12&amp;" "&amp;Cálculos!J12&amp;""</f>
        <v xml:space="preserve">            En la ciudad de 0, el día 0 0 de 0 del año 0 0 entre el señor 0, DNI Nº 0, con domicilio real en 0 0     de la localidad de 0, Partido de  0, llamado en adelante el COMITENTE, y 0, DNI Nº 0, con domicilio real en 0 0 de la localidad de 0, Partido de 0, Con Título Profesional de 0, Matrícula del Colegio de Técnicos de la Provincia de Buenos Aires Nº 0, llamado en adelante el PROFESIONAL, se conviene en celebrar el siguiente contrato de Locación de Servicios.        </v>
      </c>
      <c r="B6" s="686"/>
      <c r="C6" s="223"/>
      <c r="D6" s="222"/>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1"/>
      <c r="AM6" s="221"/>
      <c r="AN6" s="221"/>
      <c r="AO6" s="221"/>
      <c r="AP6" s="221"/>
      <c r="AQ6" s="221"/>
      <c r="AR6" s="221"/>
      <c r="AS6" s="221"/>
      <c r="AT6" s="221"/>
      <c r="AU6" s="221"/>
      <c r="AV6" s="221"/>
    </row>
    <row r="7" spans="1:48" ht="57" customHeight="1" x14ac:dyDescent="0.2">
      <c r="A7" s="685" t="str">
        <f>Cálculos!A13&amp;" "&amp;Cálculos!B13&amp;" "&amp;Cálculos!C13&amp;" "&amp;Cálculos!D13&amp;" "&amp;Cálculos!E13&amp;" "&amp;Cálculos!F13&amp;" "&amp;Cálculos!G13&amp;" "&amp;Cálculos!H13&amp;" "&amp;Cálculos!I13&amp;" "&amp;Cálculos!J13&amp;" "&amp;Cálculos!K13&amp;" "&amp;Cálculos!A14&amp;" "&amp;Cálculos!B14&amp;" "&amp;Cálculos!C14&amp;" "&amp;Cálculos!D14&amp;" "&amp;Cálculos!E14&amp;" "&amp;Cálculos!F14&amp;" "&amp;Cálculos!G14&amp;" "&amp;Cálculos!H14&amp;" "&amp;Cálculos!I14&amp;" "&amp;Cálculos!J14&amp;" "&amp;Cálculos!A15&amp;" "&amp;Cálculos!B15&amp;" "&amp;Cálculos!C15</f>
        <v xml:space="preserve">               Artículo 1º)   El COMITENTE encomienda al PROFESIONAL lo siguiente: 0 , para la obra ubicada en 0 Nº 0 , de la localidad de 0 Partido de 0 ; cuya designación catastral es Circunscripción: 0 Sección: 0 Manzana: 0 Parcela: 0 U.F.: 0 . DESTINO: 0 </v>
      </c>
      <c r="B7" s="68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48" ht="68.25" customHeight="1" x14ac:dyDescent="0.2">
      <c r="A8" s="686" t="str">
        <f>Cálculos!A16&amp;" "&amp;Cálculos!C16&amp;" "&amp;Cálculos!B16&amp;""&amp;Cálculos!D16</f>
        <v xml:space="preserve">               Artículo 2º)   Por las tareas detalladas en el artículo anterior el COMITENTE abonará al PROFESIONAL, los honorarios de común acuerdo convenidos, que ascienden a la suma de pesos: $ 0 CERO CON 00/100. Conforme a las normas legales, vigentes en la jurisdicción de la Provincia de Buenos Aires y el Código Civil.</v>
      </c>
      <c r="B8" s="682"/>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48" ht="30" customHeight="1" x14ac:dyDescent="0.2">
      <c r="A9" s="686" t="str">
        <f>Cálculos!A17&amp;"  "&amp;Cálculos!B17&amp;" "&amp;Cálculos!C17</f>
        <v xml:space="preserve">               Artículo 3º)  El Sr.   0 , en su carácter de COMITENTE, toma a su exclusivo cargo, la ejecución de la obra como EMPRESARIO.</v>
      </c>
      <c r="B9" s="68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48" ht="12.75" customHeight="1" x14ac:dyDescent="0.2">
      <c r="A10" s="682" t="str">
        <f>Cálculos!D17&amp;" "&amp;Cálculos!E17&amp;" "&amp;Cálculos!F17</f>
        <v>SISTEMA de EJECUCIÓN de OBRA POR: OTRO PROFESIONAL ASUME LA CONSTRUCCION .</v>
      </c>
      <c r="B10" s="682"/>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48" ht="56.25" customHeight="1" x14ac:dyDescent="0.2">
      <c r="A11" s="686" t="str">
        <f>Cálculos!A18&amp;"  "&amp;Cálculos!B18&amp;" "&amp;Cálculos!C18&amp;" "&amp;Cálculos!D18&amp;"  "&amp;Cálculos!E18&amp;" "&amp;Cálculos!F18&amp;" "&amp;Cálculos!G18&amp;" "&amp;Cálculos!H18&amp;" "&amp;Cálculos!I18&amp;" "&amp;Cálculos!J18</f>
        <v xml:space="preserve">               Artículo 4º)  El COMITENTE abonará al PROFESIONAL los honorarios pactados en la siguiente forma: $   0 CERO CON 00/100  en este acto, en concepto de: 0 y el saldo, de $ 0 en concepto de 0</v>
      </c>
      <c r="B11" s="68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48" ht="55.5" customHeight="1" x14ac:dyDescent="0.2">
      <c r="A12" s="686" t="str">
        <f>Cálculos!A19&amp;"  "&amp;Cálculos!B19&amp;" "&amp;Cálculos!C19&amp;" "&amp;Cálculos!D19&amp;"  "&amp;Cálculos!E19&amp;" "&amp;Cálculos!F19&amp;" "&amp;Cálculos!G19&amp;" "&amp;Cálculos!H19&amp;" "&amp;Cálculos!I19&amp;" "&amp;Cálculos!J19&amp;" "&amp;Cálculos!K19&amp;""</f>
        <v xml:space="preserve">               Artículo 5º)  Se establece el plazo de vigencia del presente contrato en:  0 meses 0  . Vencido el cual, deberán ratificarse las condiciones pactadas. De no hacerse lo expresado, dentro de los quince (15) días posteriores al vencimiento, el PROFESIONAL queda liberado de sus obligaciones, sin necesidad de comunicación alguna al COMITENTE.      </v>
      </c>
      <c r="B12" s="682"/>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48" ht="30.75" customHeight="1" x14ac:dyDescent="0.2">
      <c r="A13" s="686" t="str">
        <f>Cálculos!A20</f>
        <v xml:space="preserve">               Artículo 6º)  Con cada percepción de honorarios, el PROFESIONAL, efectuará los aportes previsionales que obliga el Art. 26 inc. b) de la Ley 12490.</v>
      </c>
      <c r="B13" s="68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48" ht="57" customHeight="1" x14ac:dyDescent="0.2">
      <c r="A14" s="686" t="str">
        <f>Cálculos!A21</f>
        <v xml:space="preserve">               Artículo 7º)   La falta de pago de cualquiera de las sumas establecidas, producirá la Mora de Pleno Derecho, pudiendo el Profesional optar por cobrar un interés punitorio sobre el atraso, o dar por terminados los plazos establecidos y cobrar el saldo total de lo que se le adeudare, o rescindir el presente contrato quedando los sumas abonadas en concepto de indemnización.</v>
      </c>
      <c r="B14" s="68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48" ht="33.75" customHeight="1" x14ac:dyDescent="0.2">
      <c r="A15" s="686" t="str">
        <f>Cálculos!A22</f>
        <v xml:space="preserve">               Artículo 8º)   En virtud de lo establecido en el artículo 3º del presente, el COMITENTE asume expresamente bajo su costa y responsabilidad, los incisos que a continuación se indican: </v>
      </c>
      <c r="B15" s="68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48" ht="50.25" customHeight="1" x14ac:dyDescent="0.2">
      <c r="A16" s="686" t="str">
        <f>Cálculos!A23</f>
        <v>a) La contratación de todo el personal, el pago de sus remuneraciones, aportes legales (obra social, previsional, sindical, etc.) indemnizaciones y cualquier otro crédito laboral,  como así también, toda responsabilidad laboral, civil y/o penal que pudiera derivar de dicha relación, conforme lo determinan las normativas vigentes;</v>
      </c>
      <c r="B16" s="68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26.25" customHeight="1" x14ac:dyDescent="0.2">
      <c r="A17" s="686" t="str">
        <f>Cálculos!A24</f>
        <v>b) La contratación de los seguros de riesgo por accidente de trabajo, de vida y cualquier otro que exigen las normas  que rigen la actividad.</v>
      </c>
      <c r="B17" s="68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2">
      <c r="A18" s="686" t="str">
        <f>Cálculos!A25</f>
        <v>c) El cumplimiento de las normas sobre Seguridad e Higiene en el Trabajo y Medicina Laboral.</v>
      </c>
      <c r="B18" s="68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48" customHeight="1" x14ac:dyDescent="0.2">
      <c r="A19" s="686" t="str">
        <f>Cálculos!A27</f>
        <v xml:space="preserve">               Artículo 9º)  Los gastos extraordinarios serán a exclusivo costo y cargo del Comitente, como así también el pago de los Derechos de Construcción o sellados ante el Municipio respectivo, por las obras que se ejecutarán.  </v>
      </c>
      <c r="B19" s="68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47.25" customHeight="1" x14ac:dyDescent="0.2">
      <c r="A20" s="686" t="str">
        <f>Cálculos!A28&amp;"  "&amp;Cálculos!B28&amp;" "&amp;Cálculos!C28&amp;""</f>
        <v xml:space="preserve">               Artículo 10º)  Para todos los efectos legales emergentes del presente contrato las partes constituyen domicilio legal en los arriba indicados y se someten a la jurisdicción de los Tribunales Ordinarios de   0 renunciando a cualquier otro fuero o jurisdicción.-</v>
      </c>
      <c r="B20" s="68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34.5" customHeight="1" x14ac:dyDescent="0.2">
      <c r="A21" s="686" t="str">
        <f>Cálculos!A29&amp;"  "&amp;Cálculos!B29</f>
        <v xml:space="preserve">               Artículo 11º)  De conformidad y para que conste, se firman cinco (5) ejemplares del mismo tenor y a un solo efecto con el carácter de:   0</v>
      </c>
      <c r="B21" s="68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2">
      <c r="A22" s="682"/>
      <c r="B22" s="68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2">
      <c r="A23" s="682"/>
      <c r="B23" s="68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2">
      <c r="A24" s="508"/>
      <c r="B24" s="50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2">
      <c r="A25" s="678"/>
      <c r="B25" s="50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2">
      <c r="A26" s="679" t="str">
        <f>Cálculos!A30&amp;"                      "&amp;Cálculos!B30</f>
        <v>Firma del Comitente                                    Firma del Profesional</v>
      </c>
      <c r="B26" s="50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2">
      <c r="A27" s="680" t="str">
        <f>Cálculos!A31&amp;"                           "&amp;Cálculos!B31</f>
        <v>0                           0</v>
      </c>
      <c r="B27" s="50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2">
      <c r="A28" s="681" t="str">
        <f>Cálculos!A32&amp;" "&amp;Cálculos!B32&amp;"                                                     "&amp;Cálculos!C32&amp;" "&amp;Cálculos!D32</f>
        <v>CUIL 0                                                     CUIT 0</v>
      </c>
      <c r="B28" s="50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2">
      <c r="A29" s="682"/>
      <c r="B29" s="50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8" x14ac:dyDescent="0.25">
      <c r="A30" s="683" t="s">
        <v>653</v>
      </c>
      <c r="B30" s="50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2">
      <c r="A31" s="508"/>
      <c r="B31" s="50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2">
      <c r="A32" s="508"/>
      <c r="B32" s="50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2">
      <c r="A33" s="508"/>
      <c r="B33" s="50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508"/>
      <c r="B34" s="50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x14ac:dyDescent="0.2">
      <c r="A35" s="508"/>
      <c r="B35" s="50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x14ac:dyDescent="0.2">
      <c r="A36" s="508"/>
      <c r="B36" s="50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x14ac:dyDescent="0.2">
      <c r="A37" s="508"/>
      <c r="B37" s="50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x14ac:dyDescent="0.2">
      <c r="A38" s="508"/>
      <c r="B38" s="50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x14ac:dyDescent="0.2">
      <c r="A39" s="508"/>
      <c r="B39" s="508"/>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508"/>
      <c r="B40" s="50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508"/>
      <c r="B41" s="50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508"/>
      <c r="B42" s="508"/>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sheetData>
  <sheetProtection password="F696" sheet="1" objects="1" scenarios="1" formatRows="0"/>
  <customSheetViews>
    <customSheetView guid="{3055A696-E36D-42C0-8DEA-BCF75BC71F7B}" topLeftCell="A4">
      <selection activeCell="A7" sqref="A7"/>
      <pageMargins left="0.92" right="0.56999999999999995" top="0.47" bottom="0.75" header="0.16" footer="0"/>
      <pageSetup paperSize="5" scale="95" orientation="portrait" horizontalDpi="1200" verticalDpi="1200" r:id="rId1"/>
      <headerFooter alignWithMargins="0"/>
    </customSheetView>
  </customSheetViews>
  <phoneticPr fontId="20" type="noConversion"/>
  <pageMargins left="0.92" right="0.56999999999999995" top="0.47" bottom="0.75" header="0.16" footer="0"/>
  <pageSetup paperSize="5" scale="95" orientation="portrait" horizontalDpi="1200" verticalDpi="12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tabColor indexed="43"/>
  </sheetPr>
  <dimension ref="A1:Q70"/>
  <sheetViews>
    <sheetView topLeftCell="A9" workbookViewId="0">
      <selection activeCell="I40" sqref="I40:J40"/>
    </sheetView>
  </sheetViews>
  <sheetFormatPr baseColWidth="10" defaultRowHeight="12.75" x14ac:dyDescent="0.2"/>
  <cols>
    <col min="1" max="1" width="5.42578125" customWidth="1"/>
    <col min="2" max="2" width="5.85546875" customWidth="1"/>
    <col min="3" max="3" width="6.7109375" customWidth="1"/>
    <col min="4" max="4" width="9.140625" customWidth="1"/>
    <col min="5" max="5" width="8.85546875" customWidth="1"/>
    <col min="6" max="6" width="9.7109375" customWidth="1"/>
    <col min="7" max="7" width="5.5703125" customWidth="1"/>
    <col min="8" max="8" width="10" customWidth="1"/>
    <col min="9" max="9" width="3.42578125" customWidth="1"/>
    <col min="10" max="10" width="9.140625" customWidth="1"/>
    <col min="11" max="11" width="7.28515625" customWidth="1"/>
    <col min="12" max="12" width="10.7109375" customWidth="1"/>
  </cols>
  <sheetData>
    <row r="1" spans="1:17" x14ac:dyDescent="0.2">
      <c r="A1" s="1289" t="s">
        <v>297</v>
      </c>
      <c r="B1" s="1290"/>
      <c r="C1" s="1290"/>
      <c r="D1" s="1290"/>
      <c r="E1" s="1290"/>
      <c r="F1" s="1290"/>
      <c r="G1" s="1290"/>
      <c r="H1" s="1290"/>
      <c r="I1" s="1290"/>
      <c r="J1" s="1290"/>
      <c r="K1" s="1290"/>
      <c r="L1" s="1290"/>
      <c r="M1" s="6"/>
      <c r="N1" s="6"/>
      <c r="O1" s="6"/>
      <c r="P1" s="6"/>
      <c r="Q1" s="6"/>
    </row>
    <row r="2" spans="1:17" x14ac:dyDescent="0.2">
      <c r="A2" s="1291" t="s">
        <v>298</v>
      </c>
      <c r="B2" s="1292"/>
      <c r="C2" s="1292"/>
      <c r="D2" s="1292"/>
      <c r="E2" s="1292"/>
      <c r="F2" s="1292"/>
      <c r="G2" s="1292"/>
      <c r="H2" s="1292"/>
      <c r="I2" s="1292"/>
      <c r="J2" s="1292"/>
      <c r="K2" s="1292"/>
      <c r="L2" s="1292"/>
      <c r="M2" s="6"/>
      <c r="N2" s="6"/>
      <c r="O2" s="6"/>
      <c r="P2" s="6"/>
      <c r="Q2" s="6"/>
    </row>
    <row r="3" spans="1:17" x14ac:dyDescent="0.2">
      <c r="A3" s="50"/>
      <c r="B3" s="50"/>
      <c r="C3" s="50"/>
      <c r="D3" s="50"/>
      <c r="E3" s="50"/>
      <c r="F3" s="50"/>
      <c r="G3" s="50"/>
      <c r="H3" s="50"/>
      <c r="I3" s="50"/>
      <c r="J3" s="50"/>
      <c r="K3" s="50"/>
      <c r="L3" s="50"/>
      <c r="M3" s="6"/>
      <c r="N3" s="6"/>
      <c r="O3" s="6"/>
      <c r="P3" s="6"/>
      <c r="Q3" s="6"/>
    </row>
    <row r="4" spans="1:17" ht="18" x14ac:dyDescent="0.25">
      <c r="A4" s="1299" t="s">
        <v>668</v>
      </c>
      <c r="B4" s="1299"/>
      <c r="C4" s="1299"/>
      <c r="D4" s="1299"/>
      <c r="E4" s="1299"/>
      <c r="F4" s="1299"/>
      <c r="G4" s="1299"/>
      <c r="H4" s="1299"/>
      <c r="I4" s="1299"/>
      <c r="J4" s="1299"/>
      <c r="K4" s="1299"/>
      <c r="L4" s="1299"/>
      <c r="M4" s="6"/>
      <c r="N4" s="6"/>
      <c r="O4" s="6"/>
      <c r="P4" s="6"/>
      <c r="Q4" s="6"/>
    </row>
    <row r="5" spans="1:17" x14ac:dyDescent="0.2">
      <c r="A5" s="50"/>
      <c r="B5" s="50"/>
      <c r="C5" s="50"/>
      <c r="D5" s="50"/>
      <c r="E5" s="50"/>
      <c r="F5" s="50"/>
      <c r="G5" s="50"/>
      <c r="H5" s="50"/>
      <c r="I5" s="50"/>
      <c r="J5" s="50"/>
      <c r="K5" s="50"/>
      <c r="L5" s="50"/>
      <c r="M5" s="6"/>
      <c r="N5" s="6"/>
      <c r="O5" s="6"/>
      <c r="P5" s="6"/>
      <c r="Q5" s="6"/>
    </row>
    <row r="6" spans="1:17" x14ac:dyDescent="0.2">
      <c r="A6" s="50"/>
      <c r="B6" s="50"/>
      <c r="C6" s="50"/>
      <c r="D6" s="1296" t="s">
        <v>299</v>
      </c>
      <c r="E6" s="1297"/>
      <c r="F6" s="1297"/>
      <c r="G6" s="1297"/>
      <c r="H6" s="1297"/>
      <c r="I6" s="1297"/>
      <c r="J6" s="1298"/>
      <c r="K6" s="50"/>
      <c r="L6" s="50"/>
      <c r="M6" s="6"/>
      <c r="N6" s="6"/>
      <c r="O6" s="6"/>
      <c r="P6" s="6"/>
      <c r="Q6" s="6"/>
    </row>
    <row r="7" spans="1:17" ht="14.25" x14ac:dyDescent="0.2">
      <c r="A7" s="49"/>
      <c r="B7" s="49"/>
      <c r="C7" s="49"/>
      <c r="D7" s="49"/>
      <c r="E7" s="49"/>
      <c r="F7" s="49"/>
      <c r="G7" s="52"/>
      <c r="H7" s="49"/>
      <c r="I7" s="49"/>
      <c r="J7" s="49"/>
      <c r="K7" s="49"/>
      <c r="L7" s="49"/>
      <c r="M7" s="6"/>
      <c r="N7" s="6"/>
      <c r="O7" s="6"/>
      <c r="P7" s="6"/>
      <c r="Q7" s="6"/>
    </row>
    <row r="8" spans="1:17" ht="14.25" x14ac:dyDescent="0.2">
      <c r="A8" s="53" t="s">
        <v>300</v>
      </c>
      <c r="B8" s="50"/>
      <c r="C8" s="50"/>
      <c r="D8" s="50"/>
      <c r="E8" s="50"/>
      <c r="F8" s="50"/>
      <c r="G8" s="54"/>
      <c r="H8" s="50"/>
      <c r="I8" s="50"/>
      <c r="J8" s="186">
        <f>Datos!K38</f>
        <v>0</v>
      </c>
      <c r="L8" s="50" t="s">
        <v>191</v>
      </c>
      <c r="M8" s="6"/>
      <c r="N8" s="6"/>
      <c r="O8" s="6"/>
      <c r="P8" s="6"/>
      <c r="Q8" s="6"/>
    </row>
    <row r="9" spans="1:17" x14ac:dyDescent="0.2">
      <c r="A9" s="186">
        <f>Datos!K40</f>
        <v>0</v>
      </c>
      <c r="C9" s="50"/>
      <c r="D9" s="6" t="s">
        <v>191</v>
      </c>
      <c r="E9" s="181">
        <f>Datos!K41</f>
        <v>0</v>
      </c>
      <c r="F9" s="50"/>
      <c r="G9" s="50"/>
      <c r="H9" s="50"/>
      <c r="I9" s="6"/>
      <c r="J9" s="53"/>
      <c r="K9" s="50"/>
      <c r="L9" s="6"/>
      <c r="M9" s="6"/>
      <c r="N9" s="6"/>
      <c r="O9" s="6"/>
      <c r="P9" s="6"/>
      <c r="Q9" s="6"/>
    </row>
    <row r="10" spans="1:17" x14ac:dyDescent="0.2">
      <c r="A10" s="50" t="s">
        <v>301</v>
      </c>
      <c r="B10" s="50"/>
      <c r="C10" s="50"/>
      <c r="E10" s="187">
        <f>Datos!K29</f>
        <v>0</v>
      </c>
      <c r="F10" s="50"/>
      <c r="G10" s="50"/>
      <c r="H10" s="50"/>
      <c r="I10" s="55" t="s">
        <v>302</v>
      </c>
      <c r="J10" s="186">
        <f>Datos!K18</f>
        <v>0</v>
      </c>
      <c r="K10" s="50"/>
      <c r="L10" s="50"/>
      <c r="M10" s="6"/>
      <c r="N10" s="6"/>
      <c r="O10" s="6"/>
      <c r="P10" s="6"/>
      <c r="Q10" s="6"/>
    </row>
    <row r="11" spans="1:17" x14ac:dyDescent="0.2">
      <c r="A11" s="53" t="s">
        <v>303</v>
      </c>
      <c r="B11" s="50"/>
      <c r="C11" s="50"/>
      <c r="D11" s="50"/>
      <c r="E11" s="1295">
        <f>Datos!K45</f>
        <v>0</v>
      </c>
      <c r="F11" s="1295"/>
      <c r="G11" s="212">
        <f>Datos!K46</f>
        <v>0</v>
      </c>
      <c r="H11" s="50"/>
      <c r="I11" s="55" t="s">
        <v>304</v>
      </c>
      <c r="J11" s="186">
        <f>Datos!K47</f>
        <v>0</v>
      </c>
      <c r="K11" s="50"/>
      <c r="L11" s="50"/>
      <c r="M11" s="6"/>
      <c r="N11" s="6"/>
      <c r="O11" s="6"/>
      <c r="P11" s="6"/>
      <c r="Q11" s="6"/>
    </row>
    <row r="12" spans="1:17" x14ac:dyDescent="0.2">
      <c r="A12" s="50"/>
      <c r="B12" s="50"/>
      <c r="C12" s="50"/>
      <c r="D12" s="50"/>
      <c r="E12" s="50"/>
      <c r="F12" s="50"/>
      <c r="G12" s="50"/>
      <c r="H12" s="50"/>
      <c r="I12" s="50"/>
      <c r="J12" s="55"/>
      <c r="K12" s="50"/>
      <c r="L12" s="50"/>
      <c r="M12" s="6"/>
      <c r="N12" s="6"/>
      <c r="O12" s="6"/>
      <c r="P12" s="6"/>
      <c r="Q12" s="6"/>
    </row>
    <row r="13" spans="1:17" x14ac:dyDescent="0.2">
      <c r="A13" s="50" t="s">
        <v>305</v>
      </c>
      <c r="B13" s="50"/>
      <c r="C13" s="50"/>
      <c r="D13" s="50"/>
      <c r="E13" s="823" t="str">
        <f>IF(Datos!D71="SI"," SEGÚN EL PORCENTAJE DE OBRA EJECUTADA SIN ANTECEDENTE MUNICIPAL","")</f>
        <v/>
      </c>
      <c r="F13" s="50"/>
      <c r="G13" s="50"/>
      <c r="H13" s="50"/>
      <c r="I13" s="50"/>
      <c r="J13" s="50"/>
      <c r="K13" s="50"/>
      <c r="L13" s="50"/>
      <c r="M13" s="6"/>
      <c r="N13" s="6"/>
      <c r="O13" s="6"/>
      <c r="P13" s="6"/>
      <c r="Q13" s="6"/>
    </row>
    <row r="14" spans="1:17" x14ac:dyDescent="0.2">
      <c r="A14" s="50"/>
      <c r="B14" s="50"/>
      <c r="C14" s="50"/>
      <c r="D14" s="50"/>
      <c r="E14" s="50"/>
      <c r="F14" s="50"/>
      <c r="G14" s="50"/>
      <c r="H14" s="50"/>
      <c r="I14" s="50"/>
      <c r="J14" s="50"/>
      <c r="K14" s="50"/>
      <c r="L14" s="50"/>
      <c r="M14" s="6"/>
      <c r="N14" s="6"/>
      <c r="O14" s="6"/>
      <c r="P14" s="6"/>
      <c r="Q14" s="6"/>
    </row>
    <row r="15" spans="1:17" x14ac:dyDescent="0.2">
      <c r="A15" s="50" t="s">
        <v>306</v>
      </c>
      <c r="B15" s="50"/>
      <c r="C15" s="50"/>
      <c r="D15" s="50"/>
      <c r="E15" s="50"/>
      <c r="F15" s="50"/>
      <c r="G15" s="50"/>
      <c r="H15" s="50"/>
      <c r="I15" s="1305" t="str">
        <f>IF(Datos!D71="SI","% EJECUTADO","")</f>
        <v/>
      </c>
      <c r="J15" s="1305"/>
      <c r="K15" s="50"/>
      <c r="L15" s="50"/>
      <c r="M15" s="6"/>
      <c r="N15" s="6"/>
      <c r="O15" s="6"/>
      <c r="P15" s="6"/>
      <c r="Q15" s="6"/>
    </row>
    <row r="16" spans="1:17" ht="15" x14ac:dyDescent="0.35">
      <c r="A16" s="50" t="s">
        <v>484</v>
      </c>
      <c r="B16" s="50"/>
      <c r="C16" s="113"/>
      <c r="D16" s="55" t="s">
        <v>307</v>
      </c>
      <c r="E16" s="188">
        <f>Datos!D81</f>
        <v>0</v>
      </c>
      <c r="F16" s="1306" t="s">
        <v>498</v>
      </c>
      <c r="G16" s="1306"/>
      <c r="H16" s="820">
        <f>Datos!L81</f>
        <v>0</v>
      </c>
      <c r="I16" s="821" t="str">
        <f>IF(Datos!D71="SI","X","")</f>
        <v/>
      </c>
      <c r="J16" s="80" t="str">
        <f>IF(Datos!D71="SI",'Acta Est. Obra'!F48,"")</f>
        <v/>
      </c>
      <c r="K16" s="55" t="s">
        <v>308</v>
      </c>
      <c r="L16" s="189">
        <f>IF(Datos!D71="SI",E16*H16*'Acta Est. Obra'!F48,E16*H16)</f>
        <v>0</v>
      </c>
      <c r="M16" s="6"/>
      <c r="N16" s="6"/>
      <c r="O16" s="6"/>
      <c r="P16" s="6"/>
      <c r="Q16" s="6"/>
    </row>
    <row r="17" spans="1:17" ht="15" x14ac:dyDescent="0.35">
      <c r="A17" s="50" t="s">
        <v>484</v>
      </c>
      <c r="B17" s="50"/>
      <c r="C17" s="113"/>
      <c r="D17" s="55" t="s">
        <v>307</v>
      </c>
      <c r="E17" s="188">
        <f>Datos!D82</f>
        <v>0</v>
      </c>
      <c r="F17" s="1306" t="s">
        <v>498</v>
      </c>
      <c r="G17" s="1306"/>
      <c r="H17" s="820">
        <f>Datos!L82</f>
        <v>0</v>
      </c>
      <c r="I17" s="821" t="str">
        <f>IF(Datos!D71="SI","X","")</f>
        <v/>
      </c>
      <c r="J17" s="80" t="str">
        <f>IF(Datos!D71="SI",'Acta Est. Obra'!F48,"")</f>
        <v/>
      </c>
      <c r="K17" s="55" t="s">
        <v>308</v>
      </c>
      <c r="L17" s="189">
        <f>IF(Datos!D71="SI",E17*H17*'Acta Est. Obra'!F48,E17*H17)</f>
        <v>0</v>
      </c>
      <c r="M17" s="6"/>
      <c r="N17" s="6"/>
      <c r="O17" s="6"/>
      <c r="P17" s="6"/>
      <c r="Q17" s="6"/>
    </row>
    <row r="18" spans="1:17" ht="15" x14ac:dyDescent="0.35">
      <c r="A18" s="50" t="s">
        <v>484</v>
      </c>
      <c r="B18" s="50"/>
      <c r="C18" s="113"/>
      <c r="D18" s="55" t="s">
        <v>307</v>
      </c>
      <c r="E18" s="188">
        <f>Datos!D83</f>
        <v>0</v>
      </c>
      <c r="F18" s="1306" t="s">
        <v>498</v>
      </c>
      <c r="G18" s="1306"/>
      <c r="H18" s="820">
        <f>Datos!L83</f>
        <v>0</v>
      </c>
      <c r="I18" s="821" t="str">
        <f>IF(Datos!D71="SI","X","")</f>
        <v/>
      </c>
      <c r="J18" s="80" t="str">
        <f>IF(Datos!D71="SI",'Acta Est. Obra'!F48,"")</f>
        <v/>
      </c>
      <c r="K18" s="55" t="s">
        <v>308</v>
      </c>
      <c r="L18" s="189">
        <f>IF(Datos!D71="SI",E18*H18*'Acta Est. Obra'!F48,E18*H18)</f>
        <v>0</v>
      </c>
      <c r="M18" s="6"/>
      <c r="N18" s="6"/>
      <c r="O18" s="6"/>
      <c r="P18" s="6"/>
      <c r="Q18" s="6"/>
    </row>
    <row r="19" spans="1:17" ht="15" x14ac:dyDescent="0.35">
      <c r="A19" s="50" t="s">
        <v>484</v>
      </c>
      <c r="B19" s="50"/>
      <c r="C19" s="51"/>
      <c r="D19" s="55" t="s">
        <v>307</v>
      </c>
      <c r="E19" s="188">
        <f>Datos!D84</f>
        <v>0</v>
      </c>
      <c r="F19" s="1306" t="s">
        <v>498</v>
      </c>
      <c r="G19" s="1306"/>
      <c r="H19" s="820">
        <f>Datos!L84</f>
        <v>0</v>
      </c>
      <c r="I19" s="821" t="str">
        <f>IF(Datos!D71="SI","X","")</f>
        <v/>
      </c>
      <c r="J19" s="80" t="str">
        <f>IF(Datos!D71="SI",'Acta Est. Obra'!F48,"")</f>
        <v/>
      </c>
      <c r="K19" s="55" t="s">
        <v>308</v>
      </c>
      <c r="L19" s="189">
        <f>IF(Datos!D71="SI",E19*H19*'Acta Est. Obra'!F48,E19*H19)</f>
        <v>0</v>
      </c>
      <c r="M19" s="6"/>
      <c r="N19" s="6"/>
      <c r="O19" s="6"/>
      <c r="P19" s="6"/>
      <c r="Q19" s="6"/>
    </row>
    <row r="20" spans="1:17" x14ac:dyDescent="0.2">
      <c r="A20" s="50" t="s">
        <v>484</v>
      </c>
      <c r="B20" s="50"/>
      <c r="C20" s="201"/>
      <c r="D20" s="50"/>
      <c r="E20" s="55"/>
      <c r="F20" s="59"/>
      <c r="G20" s="50"/>
      <c r="H20" s="50"/>
      <c r="I20" s="55" t="s">
        <v>208</v>
      </c>
      <c r="J20" s="190">
        <f>Datos!L85</f>
        <v>0</v>
      </c>
      <c r="K20" s="55" t="s">
        <v>308</v>
      </c>
      <c r="L20" s="189">
        <f>Datos!R85</f>
        <v>0</v>
      </c>
      <c r="M20" s="6"/>
      <c r="N20" s="6"/>
      <c r="O20" s="6"/>
      <c r="P20" s="6"/>
      <c r="Q20" s="6"/>
    </row>
    <row r="21" spans="1:17" x14ac:dyDescent="0.2">
      <c r="A21" s="50"/>
      <c r="B21" s="50"/>
      <c r="C21" s="50"/>
      <c r="D21" s="50"/>
      <c r="E21" s="50"/>
      <c r="F21" s="50"/>
      <c r="G21" s="50"/>
      <c r="H21" s="50"/>
      <c r="I21" s="50"/>
      <c r="J21" s="50"/>
      <c r="K21" s="50"/>
      <c r="L21" s="190"/>
      <c r="M21" s="6"/>
      <c r="N21" s="6"/>
      <c r="O21" s="6"/>
      <c r="P21" s="6"/>
      <c r="Q21" s="6"/>
    </row>
    <row r="22" spans="1:17" x14ac:dyDescent="0.2">
      <c r="A22" s="50"/>
      <c r="B22" s="50"/>
      <c r="C22" s="50"/>
      <c r="D22" s="50"/>
      <c r="E22" s="50"/>
      <c r="F22" s="50"/>
      <c r="G22" s="50"/>
      <c r="H22" s="50"/>
      <c r="I22" s="50"/>
      <c r="J22" s="50"/>
      <c r="K22" s="55" t="s">
        <v>309</v>
      </c>
      <c r="L22" s="191">
        <f>SUM(L16:L20)</f>
        <v>0</v>
      </c>
      <c r="M22" s="6"/>
      <c r="N22" s="6"/>
      <c r="O22" s="6"/>
      <c r="P22" s="6"/>
      <c r="Q22" s="6"/>
    </row>
    <row r="23" spans="1:17" x14ac:dyDescent="0.2">
      <c r="A23" s="49"/>
      <c r="B23" s="49"/>
      <c r="C23" s="49"/>
      <c r="D23" s="49"/>
      <c r="E23" s="49"/>
      <c r="F23" s="49"/>
      <c r="G23" s="49"/>
      <c r="H23" s="49"/>
      <c r="I23" s="49"/>
      <c r="J23" s="49"/>
      <c r="K23" s="49"/>
      <c r="L23" s="49"/>
      <c r="M23" s="6"/>
      <c r="N23" s="6"/>
      <c r="O23" s="6"/>
      <c r="P23" s="6"/>
      <c r="Q23" s="6"/>
    </row>
    <row r="24" spans="1:17" x14ac:dyDescent="0.2">
      <c r="A24" s="50"/>
      <c r="B24" s="50"/>
      <c r="C24" s="50"/>
      <c r="D24" s="50"/>
      <c r="E24" s="50"/>
      <c r="F24" s="50"/>
      <c r="G24" s="50"/>
      <c r="H24" s="50"/>
      <c r="I24" s="50"/>
      <c r="J24" s="50"/>
      <c r="K24" s="50"/>
      <c r="L24" s="50"/>
      <c r="M24" s="6"/>
      <c r="N24" s="6"/>
      <c r="O24" s="6"/>
      <c r="P24" s="6"/>
      <c r="Q24" s="6"/>
    </row>
    <row r="25" spans="1:17" x14ac:dyDescent="0.2">
      <c r="A25" s="56" t="s">
        <v>669</v>
      </c>
      <c r="B25" s="56"/>
      <c r="C25" s="56"/>
      <c r="D25" s="56"/>
      <c r="E25" s="56"/>
      <c r="F25" s="6"/>
      <c r="G25" s="6"/>
      <c r="H25" s="6"/>
      <c r="I25" s="6"/>
      <c r="J25" s="6"/>
      <c r="K25" s="6"/>
      <c r="L25" s="50"/>
      <c r="M25" s="6"/>
      <c r="N25" s="6"/>
      <c r="O25" s="6"/>
      <c r="P25" s="6"/>
      <c r="Q25" s="6"/>
    </row>
    <row r="26" spans="1:17" x14ac:dyDescent="0.2">
      <c r="A26" s="6"/>
      <c r="B26" s="6"/>
      <c r="C26" s="6"/>
      <c r="D26" s="6"/>
      <c r="E26" s="6"/>
      <c r="F26" s="6"/>
      <c r="G26" s="6"/>
      <c r="H26" s="6"/>
      <c r="I26" s="6"/>
      <c r="J26" s="6"/>
      <c r="K26" s="6"/>
      <c r="L26" s="50"/>
      <c r="M26" s="6"/>
      <c r="N26" s="6"/>
      <c r="O26" s="6"/>
      <c r="P26" s="6"/>
      <c r="Q26" s="6"/>
    </row>
    <row r="27" spans="1:17" x14ac:dyDescent="0.2">
      <c r="A27" s="6" t="s">
        <v>310</v>
      </c>
      <c r="B27" s="6"/>
      <c r="C27" s="6"/>
      <c r="D27" s="6"/>
      <c r="E27" s="6"/>
      <c r="F27" s="6"/>
      <c r="G27" s="6"/>
      <c r="H27" s="6"/>
      <c r="I27" s="6"/>
      <c r="J27" s="6"/>
      <c r="K27" s="55" t="s">
        <v>309</v>
      </c>
      <c r="L27" s="191">
        <f>L22</f>
        <v>0</v>
      </c>
      <c r="M27" s="6"/>
      <c r="N27" s="6"/>
      <c r="O27" s="6"/>
      <c r="P27" s="6"/>
      <c r="Q27" s="6"/>
    </row>
    <row r="28" spans="1:17" x14ac:dyDescent="0.2">
      <c r="A28" s="6"/>
      <c r="B28" s="6"/>
      <c r="C28" s="6"/>
      <c r="D28" s="6"/>
      <c r="E28" s="6"/>
      <c r="F28" s="6"/>
      <c r="G28" s="6"/>
      <c r="H28" s="6"/>
      <c r="I28" s="6"/>
      <c r="J28" s="50"/>
      <c r="K28" s="6"/>
      <c r="L28" s="190"/>
      <c r="M28" s="6"/>
      <c r="N28" s="6"/>
      <c r="O28" s="6"/>
      <c r="P28" s="6"/>
      <c r="Q28" s="6"/>
    </row>
    <row r="29" spans="1:17" x14ac:dyDescent="0.2">
      <c r="A29" s="6"/>
      <c r="B29" s="49"/>
      <c r="C29" s="20" t="s">
        <v>25</v>
      </c>
      <c r="D29" s="6"/>
      <c r="E29" s="57" t="s">
        <v>102</v>
      </c>
      <c r="F29" s="189">
        <f>Datos!D91</f>
        <v>0</v>
      </c>
      <c r="G29" s="6"/>
      <c r="H29" s="6"/>
      <c r="I29" s="6"/>
      <c r="J29" s="6"/>
      <c r="K29" s="57" t="s">
        <v>311</v>
      </c>
      <c r="L29" s="193">
        <f>Datos!L91</f>
        <v>0</v>
      </c>
      <c r="M29" s="6"/>
      <c r="N29" s="6"/>
      <c r="O29" s="6"/>
      <c r="P29" s="6"/>
      <c r="Q29" s="6"/>
    </row>
    <row r="30" spans="1:17" x14ac:dyDescent="0.2">
      <c r="A30" s="6"/>
      <c r="B30" s="202">
        <f>Datos!D92</f>
        <v>8.5000000000000006E-2</v>
      </c>
      <c r="C30" s="6" t="s">
        <v>330</v>
      </c>
      <c r="D30" s="6"/>
      <c r="E30" s="57" t="s">
        <v>102</v>
      </c>
      <c r="F30" s="193">
        <f>Datos!L92</f>
        <v>0</v>
      </c>
      <c r="G30" s="6"/>
      <c r="H30" s="6"/>
      <c r="I30" s="6"/>
      <c r="J30" s="6"/>
      <c r="K30" s="57" t="s">
        <v>311</v>
      </c>
      <c r="L30" s="189">
        <f>Datos!R92</f>
        <v>0</v>
      </c>
      <c r="M30" s="6"/>
      <c r="N30" s="6"/>
      <c r="O30" s="6"/>
      <c r="P30" s="6"/>
      <c r="Q30" s="6"/>
    </row>
    <row r="31" spans="1:17" x14ac:dyDescent="0.2">
      <c r="A31" s="6"/>
      <c r="B31" s="6"/>
      <c r="C31" s="6"/>
      <c r="D31" s="6"/>
      <c r="E31" s="6"/>
      <c r="F31" s="6"/>
      <c r="G31" s="6"/>
      <c r="H31" s="6"/>
      <c r="I31" s="6"/>
      <c r="J31" s="6"/>
      <c r="K31" s="6"/>
      <c r="L31" s="190"/>
      <c r="M31" s="6"/>
      <c r="N31" s="6"/>
      <c r="O31" s="6"/>
      <c r="P31" s="6"/>
      <c r="Q31" s="6"/>
    </row>
    <row r="32" spans="1:17" x14ac:dyDescent="0.2">
      <c r="A32" s="6"/>
      <c r="B32" s="6"/>
      <c r="C32" s="6"/>
      <c r="D32" s="6"/>
      <c r="E32" s="6"/>
      <c r="F32" s="6"/>
      <c r="G32" s="6"/>
      <c r="H32" s="6"/>
      <c r="I32" s="6"/>
      <c r="J32" s="50"/>
      <c r="K32" s="55" t="s">
        <v>344</v>
      </c>
      <c r="L32" s="191">
        <f>SUM(L29,L30)</f>
        <v>0</v>
      </c>
      <c r="M32" s="6"/>
      <c r="N32" s="6"/>
      <c r="O32" s="6"/>
      <c r="P32" s="6"/>
      <c r="Q32" s="6"/>
    </row>
    <row r="33" spans="1:17" x14ac:dyDescent="0.2">
      <c r="A33" s="6"/>
      <c r="B33" s="6"/>
      <c r="C33" s="6"/>
      <c r="D33" s="6"/>
      <c r="E33" s="6"/>
      <c r="F33" s="6"/>
      <c r="G33" s="6"/>
      <c r="H33" s="6"/>
      <c r="I33" s="6"/>
      <c r="J33" s="6"/>
      <c r="K33" s="6"/>
      <c r="L33" s="192"/>
      <c r="M33" s="6"/>
      <c r="N33" s="6"/>
      <c r="O33" s="6"/>
      <c r="P33" s="6"/>
      <c r="Q33" s="6"/>
    </row>
    <row r="34" spans="1:17" x14ac:dyDescent="0.2">
      <c r="A34" s="6"/>
      <c r="B34" s="6"/>
      <c r="C34" s="6"/>
      <c r="D34" s="6"/>
      <c r="E34" s="6"/>
      <c r="F34" s="6"/>
      <c r="G34" s="6"/>
      <c r="H34" s="6"/>
      <c r="I34" s="6"/>
      <c r="J34" s="6"/>
      <c r="K34" s="6"/>
      <c r="L34" s="192"/>
      <c r="M34" s="6"/>
      <c r="N34" s="6"/>
      <c r="O34" s="6"/>
      <c r="P34" s="6"/>
      <c r="Q34" s="6"/>
    </row>
    <row r="35" spans="1:17" x14ac:dyDescent="0.2">
      <c r="A35" s="6"/>
      <c r="B35" s="6"/>
      <c r="C35" s="6"/>
      <c r="D35" s="6"/>
      <c r="E35" s="6"/>
      <c r="F35" s="6"/>
      <c r="G35" s="6"/>
      <c r="H35" s="6"/>
      <c r="I35" s="6"/>
      <c r="J35" s="50"/>
      <c r="K35" s="55" t="s">
        <v>312</v>
      </c>
      <c r="L35" s="191">
        <f>ROUND(L32*10%,1)</f>
        <v>0</v>
      </c>
      <c r="M35" s="6"/>
      <c r="N35" s="6"/>
      <c r="O35" s="6"/>
      <c r="P35" s="6"/>
      <c r="Q35" s="6"/>
    </row>
    <row r="36" spans="1:17" x14ac:dyDescent="0.2">
      <c r="B36" s="6"/>
      <c r="C36" s="771" t="s">
        <v>558</v>
      </c>
      <c r="D36" s="1277" t="str">
        <f>Datos!K154</f>
        <v>CERO CON 00/100</v>
      </c>
      <c r="E36" s="1277"/>
      <c r="F36" s="1277"/>
      <c r="G36" s="1277"/>
      <c r="H36" s="1277"/>
      <c r="I36" s="1277"/>
      <c r="J36" s="1277"/>
      <c r="K36" s="1277"/>
      <c r="L36" s="1277"/>
      <c r="M36" s="6"/>
      <c r="N36" s="6"/>
      <c r="O36" s="6"/>
      <c r="P36" s="6"/>
      <c r="Q36" s="6"/>
    </row>
    <row r="37" spans="1:17" ht="13.5" thickBot="1" x14ac:dyDescent="0.25">
      <c r="A37" s="58"/>
      <c r="B37" s="46"/>
      <c r="C37" s="56"/>
      <c r="D37" s="46"/>
      <c r="E37" s="46"/>
      <c r="F37" s="46"/>
      <c r="G37" s="46"/>
      <c r="H37" s="6"/>
      <c r="I37" s="6"/>
      <c r="J37" s="6"/>
      <c r="K37" s="57"/>
      <c r="L37" s="59"/>
      <c r="M37" s="6"/>
      <c r="N37" s="6"/>
      <c r="O37" s="6"/>
      <c r="P37" s="6"/>
      <c r="Q37" s="6"/>
    </row>
    <row r="38" spans="1:17" x14ac:dyDescent="0.2">
      <c r="A38" s="1300" t="s">
        <v>313</v>
      </c>
      <c r="B38" s="1301"/>
      <c r="C38" s="1301"/>
      <c r="D38" s="1301"/>
      <c r="E38" s="1301"/>
      <c r="F38" s="1302"/>
      <c r="G38" s="1303" t="s">
        <v>315</v>
      </c>
      <c r="H38" s="1304"/>
      <c r="I38" s="1281" t="s">
        <v>628</v>
      </c>
      <c r="J38" s="1304"/>
      <c r="K38" s="1281" t="s">
        <v>482</v>
      </c>
      <c r="L38" s="1282"/>
      <c r="M38" s="6"/>
      <c r="N38" s="6"/>
      <c r="O38" s="6"/>
      <c r="P38" s="6"/>
      <c r="Q38" s="6"/>
    </row>
    <row r="39" spans="1:17" x14ac:dyDescent="0.2">
      <c r="A39" s="195" t="s">
        <v>712</v>
      </c>
      <c r="B39" s="121"/>
      <c r="C39" s="121"/>
      <c r="D39" s="123"/>
      <c r="E39" s="122" t="s">
        <v>314</v>
      </c>
      <c r="F39" s="194">
        <f>Datos!K152</f>
        <v>0</v>
      </c>
      <c r="G39" s="1287">
        <f>Datos!K151</f>
        <v>0</v>
      </c>
      <c r="H39" s="1288"/>
      <c r="I39" s="1287">
        <f>Datos!K150</f>
        <v>0</v>
      </c>
      <c r="J39" s="1288"/>
      <c r="K39" s="1283">
        <f>Datos!K153</f>
        <v>0</v>
      </c>
      <c r="L39" s="1284"/>
      <c r="M39" s="6"/>
      <c r="N39" s="6"/>
      <c r="O39" s="6"/>
      <c r="P39" s="6"/>
      <c r="Q39" s="6"/>
    </row>
    <row r="40" spans="1:17" ht="13.5" thickBot="1" x14ac:dyDescent="0.25">
      <c r="A40" s="196" t="s">
        <v>712</v>
      </c>
      <c r="B40" s="197"/>
      <c r="C40" s="197"/>
      <c r="D40" s="198"/>
      <c r="E40" s="199" t="s">
        <v>629</v>
      </c>
      <c r="F40" s="200"/>
      <c r="G40" s="1293"/>
      <c r="H40" s="1294"/>
      <c r="I40" s="1293">
        <v>0</v>
      </c>
      <c r="J40" s="1294"/>
      <c r="K40" s="1285" t="str">
        <f>IF(K39&gt;=L35,".",L35-K39)</f>
        <v>.</v>
      </c>
      <c r="L40" s="1286"/>
      <c r="M40" s="6"/>
      <c r="N40" s="6"/>
      <c r="O40" s="6"/>
      <c r="P40" s="6"/>
      <c r="Q40" s="6"/>
    </row>
    <row r="41" spans="1:17" x14ac:dyDescent="0.2">
      <c r="A41" s="6"/>
      <c r="B41" s="6"/>
      <c r="C41" s="6"/>
      <c r="D41" s="6"/>
      <c r="E41" s="6"/>
      <c r="F41" s="6"/>
      <c r="G41" s="6"/>
      <c r="H41" s="6"/>
      <c r="I41" s="6"/>
      <c r="J41" s="6"/>
      <c r="K41" s="6"/>
      <c r="L41" s="50"/>
      <c r="M41" s="6"/>
      <c r="N41" s="6"/>
      <c r="O41" s="6"/>
      <c r="P41" s="6"/>
      <c r="Q41" s="6"/>
    </row>
    <row r="42" spans="1:17" x14ac:dyDescent="0.2">
      <c r="A42" s="6"/>
      <c r="B42" s="6"/>
      <c r="C42" s="6"/>
      <c r="D42" s="6"/>
      <c r="E42" s="6"/>
      <c r="F42" s="6"/>
      <c r="G42" s="6"/>
      <c r="H42" s="6"/>
      <c r="I42" s="6"/>
      <c r="J42" s="6"/>
      <c r="K42" s="6"/>
      <c r="L42" s="50"/>
      <c r="M42" s="6"/>
      <c r="N42" s="6"/>
      <c r="O42" s="6"/>
      <c r="P42" s="6"/>
      <c r="Q42" s="6"/>
    </row>
    <row r="43" spans="1:17" x14ac:dyDescent="0.2">
      <c r="A43" s="6"/>
      <c r="B43" s="6"/>
      <c r="C43" s="6"/>
      <c r="D43" s="6"/>
      <c r="E43" s="6"/>
      <c r="F43" s="6"/>
      <c r="G43" s="6"/>
      <c r="H43" s="6"/>
      <c r="I43" s="6"/>
      <c r="J43" s="6"/>
      <c r="K43" s="6"/>
      <c r="L43" s="6"/>
      <c r="M43" s="6"/>
      <c r="N43" s="6"/>
      <c r="O43" s="6"/>
      <c r="P43" s="6"/>
      <c r="Q43" s="6"/>
    </row>
    <row r="44" spans="1:17" x14ac:dyDescent="0.2">
      <c r="A44" s="6"/>
      <c r="B44" s="6"/>
      <c r="C44" s="6"/>
      <c r="D44" s="6"/>
      <c r="E44" s="6"/>
      <c r="F44" s="6"/>
      <c r="G44" s="6"/>
      <c r="H44" s="6"/>
      <c r="I44" s="6"/>
      <c r="J44" s="6"/>
      <c r="K44" s="6"/>
      <c r="L44" s="6"/>
      <c r="M44" s="6"/>
      <c r="N44" s="6"/>
      <c r="O44" s="6"/>
      <c r="P44" s="6"/>
      <c r="Q44" s="6"/>
    </row>
    <row r="45" spans="1:17" x14ac:dyDescent="0.2">
      <c r="A45" s="6"/>
      <c r="B45" s="47"/>
      <c r="C45" s="47"/>
      <c r="D45" s="47"/>
      <c r="E45" s="47"/>
      <c r="F45" s="6"/>
      <c r="G45" s="6"/>
      <c r="H45" s="6"/>
      <c r="I45" s="47"/>
      <c r="J45" s="47"/>
      <c r="K45" s="47"/>
      <c r="L45" s="6"/>
      <c r="M45" s="6"/>
      <c r="N45" s="6"/>
      <c r="O45" s="6"/>
      <c r="P45" s="6"/>
      <c r="Q45" s="6"/>
    </row>
    <row r="46" spans="1:17" x14ac:dyDescent="0.2">
      <c r="A46" s="6"/>
      <c r="B46" s="6"/>
      <c r="C46" s="48"/>
      <c r="D46" s="48" t="s">
        <v>316</v>
      </c>
      <c r="E46" s="48"/>
      <c r="F46" s="48"/>
      <c r="G46" s="6"/>
      <c r="H46" s="6"/>
      <c r="I46" s="6" t="s">
        <v>250</v>
      </c>
      <c r="J46" s="6"/>
      <c r="K46" s="6"/>
      <c r="L46" s="6"/>
      <c r="M46" s="6"/>
      <c r="N46" s="6"/>
      <c r="O46" s="6"/>
      <c r="P46" s="6"/>
      <c r="Q46" s="6"/>
    </row>
    <row r="47" spans="1:17" x14ac:dyDescent="0.2">
      <c r="A47" s="6"/>
      <c r="B47" s="6"/>
      <c r="C47" s="57" t="s">
        <v>317</v>
      </c>
      <c r="D47" s="61">
        <f>Datos!K31</f>
        <v>0</v>
      </c>
      <c r="E47" s="6"/>
      <c r="F47" s="6"/>
      <c r="G47" s="6"/>
      <c r="I47" s="1280" t="s">
        <v>615</v>
      </c>
      <c r="J47" s="1280"/>
      <c r="K47" s="1279">
        <f>Datos!K26</f>
        <v>0</v>
      </c>
      <c r="L47" s="1279"/>
      <c r="M47" s="6"/>
      <c r="N47" s="6"/>
      <c r="O47" s="6"/>
      <c r="P47" s="6"/>
      <c r="Q47" s="6"/>
    </row>
    <row r="48" spans="1:17" x14ac:dyDescent="0.2">
      <c r="A48" s="6"/>
      <c r="B48" s="6"/>
      <c r="C48" s="6"/>
      <c r="D48" s="6"/>
      <c r="E48" s="6"/>
      <c r="F48" s="6"/>
      <c r="G48" s="6"/>
      <c r="H48" s="6"/>
      <c r="I48" s="57" t="s">
        <v>182</v>
      </c>
      <c r="J48" s="1278">
        <f>Datos!K25</f>
        <v>0</v>
      </c>
      <c r="K48" s="1278"/>
      <c r="L48" s="6"/>
      <c r="M48" s="6"/>
      <c r="N48" s="6"/>
      <c r="O48" s="6"/>
      <c r="P48" s="6"/>
      <c r="Q48" s="6"/>
    </row>
    <row r="49" spans="1:17" x14ac:dyDescent="0.2">
      <c r="A49" s="6"/>
      <c r="B49" s="6"/>
      <c r="C49" s="6"/>
      <c r="D49" s="6"/>
      <c r="E49" s="6"/>
      <c r="F49" s="6"/>
      <c r="G49" s="6"/>
      <c r="H49" s="6"/>
      <c r="I49" s="6"/>
      <c r="J49" s="6"/>
      <c r="K49" s="6"/>
      <c r="L49" s="6"/>
      <c r="M49" s="6"/>
      <c r="N49" s="6"/>
      <c r="O49" s="6"/>
      <c r="P49" s="6"/>
      <c r="Q49" s="6"/>
    </row>
    <row r="50" spans="1:17" x14ac:dyDescent="0.2">
      <c r="A50" s="6"/>
      <c r="B50" s="6"/>
      <c r="C50" s="6"/>
      <c r="D50" s="6"/>
      <c r="E50" s="6"/>
      <c r="F50" s="6"/>
      <c r="G50" s="6"/>
      <c r="H50" s="6"/>
      <c r="I50" s="6"/>
      <c r="J50" s="6"/>
      <c r="K50" s="6"/>
      <c r="L50" s="6"/>
      <c r="M50" s="6"/>
      <c r="N50" s="6"/>
      <c r="O50" s="6"/>
      <c r="P50" s="6"/>
      <c r="Q50" s="6"/>
    </row>
    <row r="51" spans="1:17" x14ac:dyDescent="0.2">
      <c r="A51" s="6"/>
      <c r="B51" s="6"/>
      <c r="C51" s="6"/>
      <c r="D51" s="6"/>
      <c r="E51" s="6"/>
      <c r="F51" s="6"/>
      <c r="G51" s="6"/>
      <c r="H51" s="6"/>
      <c r="I51" s="6"/>
      <c r="J51" s="6"/>
      <c r="K51" s="6"/>
      <c r="L51" s="6"/>
      <c r="M51" s="6"/>
      <c r="N51" s="6"/>
      <c r="O51" s="6"/>
      <c r="P51" s="6"/>
      <c r="Q51" s="6"/>
    </row>
    <row r="52" spans="1:17" x14ac:dyDescent="0.2">
      <c r="A52" s="6"/>
      <c r="B52" s="6"/>
      <c r="C52" s="6"/>
      <c r="D52" s="6"/>
      <c r="E52" s="6"/>
      <c r="F52" s="6"/>
      <c r="G52" s="6"/>
      <c r="H52" s="6"/>
      <c r="I52" s="6"/>
      <c r="J52" s="6"/>
      <c r="K52" s="6"/>
      <c r="L52" s="6"/>
      <c r="M52" s="6"/>
      <c r="N52" s="6"/>
      <c r="O52" s="6"/>
      <c r="P52" s="6"/>
      <c r="Q52" s="6"/>
    </row>
    <row r="53" spans="1:17" x14ac:dyDescent="0.2">
      <c r="A53" s="6"/>
      <c r="B53" s="6"/>
      <c r="C53" s="6"/>
      <c r="D53" s="6"/>
      <c r="E53" s="6"/>
      <c r="F53" s="6"/>
      <c r="G53" s="6"/>
      <c r="H53" s="6"/>
      <c r="I53" s="6"/>
      <c r="J53" s="6"/>
      <c r="K53" s="6"/>
      <c r="L53" s="6"/>
      <c r="M53" s="6"/>
      <c r="N53" s="6"/>
      <c r="O53" s="6"/>
      <c r="P53" s="6"/>
      <c r="Q53" s="6"/>
    </row>
    <row r="54" spans="1:17" x14ac:dyDescent="0.2">
      <c r="A54" s="6"/>
      <c r="B54" s="6"/>
      <c r="C54" s="6"/>
      <c r="D54" s="6"/>
      <c r="E54" s="6"/>
      <c r="F54" s="6"/>
      <c r="G54" s="6"/>
      <c r="H54" s="6"/>
      <c r="I54" s="6"/>
      <c r="J54" s="6"/>
      <c r="K54" s="6"/>
      <c r="L54" s="6"/>
      <c r="M54" s="6"/>
      <c r="N54" s="6"/>
      <c r="O54" s="6"/>
      <c r="P54" s="6"/>
      <c r="Q54" s="6"/>
    </row>
    <row r="55" spans="1:17" x14ac:dyDescent="0.2">
      <c r="A55" s="6"/>
      <c r="B55" s="6"/>
      <c r="C55" s="6"/>
      <c r="D55" s="6"/>
      <c r="E55" s="6"/>
      <c r="F55" s="6"/>
      <c r="G55" s="6"/>
      <c r="H55" s="6"/>
      <c r="I55" s="6"/>
      <c r="J55" s="6"/>
      <c r="K55" s="6"/>
      <c r="L55" s="6"/>
      <c r="M55" s="6"/>
      <c r="N55" s="6"/>
      <c r="O55" s="6"/>
      <c r="P55" s="6"/>
      <c r="Q55" s="6"/>
    </row>
    <row r="56" spans="1:17" x14ac:dyDescent="0.2">
      <c r="A56" s="6"/>
      <c r="B56" s="6"/>
      <c r="C56" s="6"/>
      <c r="D56" s="6"/>
      <c r="E56" s="6"/>
      <c r="F56" s="6"/>
      <c r="G56" s="6"/>
      <c r="H56" s="6"/>
      <c r="I56" s="6"/>
      <c r="J56" s="6"/>
      <c r="K56" s="6"/>
      <c r="L56" s="6"/>
      <c r="M56" s="6"/>
      <c r="N56" s="6"/>
      <c r="O56" s="6"/>
      <c r="P56" s="6"/>
      <c r="Q56" s="6"/>
    </row>
    <row r="57" spans="1:17" x14ac:dyDescent="0.2">
      <c r="A57" s="6"/>
      <c r="B57" s="6"/>
      <c r="C57" s="6"/>
      <c r="D57" s="6"/>
      <c r="E57" s="6"/>
      <c r="F57" s="6"/>
      <c r="G57" s="6"/>
      <c r="H57" s="6"/>
      <c r="I57" s="6"/>
      <c r="J57" s="6"/>
      <c r="K57" s="6"/>
      <c r="L57" s="6"/>
      <c r="M57" s="6"/>
      <c r="N57" s="6"/>
      <c r="O57" s="6"/>
      <c r="P57" s="6"/>
      <c r="Q57" s="6"/>
    </row>
    <row r="58" spans="1:17" x14ac:dyDescent="0.2">
      <c r="A58" s="6"/>
      <c r="B58" s="6"/>
      <c r="C58" s="6"/>
      <c r="D58" s="6"/>
      <c r="E58" s="6"/>
      <c r="F58" s="6"/>
      <c r="G58" s="6"/>
      <c r="H58" s="6"/>
      <c r="I58" s="6"/>
      <c r="J58" s="6"/>
      <c r="K58" s="6"/>
      <c r="L58" s="6"/>
      <c r="M58" s="6"/>
      <c r="N58" s="6"/>
      <c r="O58" s="6"/>
      <c r="P58" s="6"/>
      <c r="Q58" s="6"/>
    </row>
    <row r="59" spans="1:17" x14ac:dyDescent="0.2">
      <c r="A59" s="6"/>
      <c r="B59" s="6"/>
      <c r="C59" s="6"/>
      <c r="D59" s="6"/>
      <c r="E59" s="6"/>
      <c r="F59" s="6"/>
      <c r="G59" s="6"/>
      <c r="H59" s="6"/>
      <c r="I59" s="6"/>
      <c r="J59" s="6"/>
      <c r="K59" s="6"/>
      <c r="L59" s="6"/>
      <c r="M59" s="6"/>
      <c r="N59" s="6"/>
      <c r="O59" s="6"/>
      <c r="P59" s="6"/>
      <c r="Q59" s="6"/>
    </row>
    <row r="60" spans="1:17" x14ac:dyDescent="0.2">
      <c r="A60" s="6"/>
      <c r="B60" s="6"/>
      <c r="C60" s="6"/>
      <c r="D60" s="6"/>
      <c r="E60" s="6"/>
      <c r="F60" s="6"/>
      <c r="G60" s="6"/>
      <c r="H60" s="6"/>
      <c r="I60" s="6"/>
      <c r="J60" s="6"/>
      <c r="K60" s="6"/>
      <c r="L60" s="6"/>
      <c r="M60" s="6"/>
      <c r="N60" s="6"/>
      <c r="O60" s="6"/>
      <c r="P60" s="6"/>
      <c r="Q60" s="6"/>
    </row>
    <row r="61" spans="1:17" x14ac:dyDescent="0.2">
      <c r="A61" s="6"/>
      <c r="B61" s="6"/>
      <c r="C61" s="6"/>
      <c r="D61" s="6"/>
      <c r="E61" s="6"/>
      <c r="F61" s="6"/>
      <c r="G61" s="6"/>
      <c r="H61" s="6"/>
      <c r="I61" s="6"/>
      <c r="J61" s="6"/>
      <c r="K61" s="6"/>
      <c r="L61" s="6"/>
      <c r="M61" s="6"/>
      <c r="N61" s="6"/>
      <c r="O61" s="6"/>
      <c r="P61" s="6"/>
      <c r="Q61" s="6"/>
    </row>
    <row r="62" spans="1:17" x14ac:dyDescent="0.2">
      <c r="A62" s="6"/>
      <c r="B62" s="6"/>
      <c r="C62" s="6"/>
      <c r="D62" s="6"/>
      <c r="E62" s="6"/>
      <c r="F62" s="6"/>
      <c r="G62" s="6"/>
      <c r="H62" s="6"/>
      <c r="I62" s="6"/>
      <c r="J62" s="6"/>
      <c r="K62" s="6"/>
      <c r="L62" s="6"/>
      <c r="M62" s="6"/>
      <c r="N62" s="6"/>
      <c r="O62" s="6"/>
      <c r="P62" s="6"/>
      <c r="Q62" s="6"/>
    </row>
    <row r="63" spans="1:17" x14ac:dyDescent="0.2">
      <c r="A63" s="6"/>
      <c r="B63" s="6"/>
      <c r="C63" s="6"/>
      <c r="D63" s="6"/>
      <c r="E63" s="6"/>
      <c r="F63" s="6"/>
      <c r="G63" s="6"/>
      <c r="H63" s="6"/>
      <c r="I63" s="6"/>
      <c r="J63" s="6"/>
      <c r="K63" s="6"/>
      <c r="L63" s="6"/>
      <c r="M63" s="6"/>
      <c r="N63" s="6"/>
      <c r="O63" s="6"/>
      <c r="P63" s="6"/>
      <c r="Q63" s="6"/>
    </row>
    <row r="64" spans="1:17" x14ac:dyDescent="0.2">
      <c r="A64" s="6"/>
      <c r="B64" s="6"/>
      <c r="C64" s="6"/>
      <c r="D64" s="6"/>
      <c r="E64" s="6"/>
      <c r="F64" s="6"/>
      <c r="G64" s="6"/>
      <c r="H64" s="6"/>
      <c r="I64" s="6"/>
      <c r="J64" s="6"/>
      <c r="K64" s="6"/>
      <c r="L64" s="6"/>
      <c r="M64" s="6"/>
      <c r="N64" s="6"/>
      <c r="O64" s="6"/>
      <c r="P64" s="6"/>
      <c r="Q64" s="6"/>
    </row>
    <row r="65" spans="1:17" x14ac:dyDescent="0.2">
      <c r="A65" s="6"/>
      <c r="B65" s="6"/>
      <c r="C65" s="6"/>
      <c r="D65" s="6"/>
      <c r="E65" s="6"/>
      <c r="F65" s="6"/>
      <c r="G65" s="6"/>
      <c r="H65" s="6"/>
      <c r="I65" s="6"/>
      <c r="J65" s="6"/>
      <c r="K65" s="6"/>
      <c r="L65" s="6"/>
      <c r="M65" s="6"/>
      <c r="N65" s="6"/>
      <c r="O65" s="6"/>
      <c r="P65" s="6"/>
      <c r="Q65" s="6"/>
    </row>
    <row r="66" spans="1:17" x14ac:dyDescent="0.2">
      <c r="A66" s="6"/>
      <c r="B66" s="6"/>
      <c r="C66" s="6"/>
      <c r="D66" s="6"/>
      <c r="E66" s="6"/>
      <c r="F66" s="6"/>
      <c r="G66" s="6"/>
      <c r="H66" s="6"/>
      <c r="I66" s="6"/>
      <c r="J66" s="6"/>
      <c r="K66" s="6"/>
      <c r="L66" s="6"/>
      <c r="M66" s="6"/>
      <c r="N66" s="6"/>
      <c r="O66" s="6"/>
      <c r="P66" s="6"/>
      <c r="Q66" s="6"/>
    </row>
    <row r="67" spans="1:17" x14ac:dyDescent="0.2">
      <c r="A67" s="6"/>
      <c r="B67" s="6"/>
      <c r="C67" s="6"/>
      <c r="D67" s="6"/>
      <c r="E67" s="6"/>
      <c r="F67" s="6"/>
      <c r="G67" s="6"/>
      <c r="H67" s="6"/>
      <c r="I67" s="6"/>
      <c r="J67" s="6"/>
      <c r="K67" s="6"/>
      <c r="L67" s="6"/>
      <c r="M67" s="6"/>
      <c r="N67" s="6"/>
      <c r="O67" s="6"/>
      <c r="P67" s="6"/>
      <c r="Q67" s="6"/>
    </row>
    <row r="68" spans="1:17" x14ac:dyDescent="0.2">
      <c r="A68" s="6"/>
      <c r="B68" s="6"/>
      <c r="C68" s="6"/>
      <c r="D68" s="6"/>
      <c r="E68" s="6"/>
      <c r="F68" s="6"/>
      <c r="G68" s="6"/>
      <c r="H68" s="6"/>
      <c r="I68" s="6"/>
      <c r="J68" s="6"/>
      <c r="K68" s="6"/>
      <c r="L68" s="6"/>
      <c r="M68" s="6"/>
      <c r="N68" s="6"/>
      <c r="O68" s="6"/>
      <c r="P68" s="6"/>
      <c r="Q68" s="6"/>
    </row>
    <row r="69" spans="1:17" x14ac:dyDescent="0.2">
      <c r="A69" s="6"/>
      <c r="B69" s="6"/>
      <c r="C69" s="6"/>
      <c r="D69" s="6"/>
      <c r="E69" s="6"/>
      <c r="F69" s="6"/>
      <c r="G69" s="6"/>
      <c r="H69" s="6"/>
      <c r="I69" s="6"/>
      <c r="J69" s="6"/>
      <c r="K69" s="6"/>
      <c r="L69" s="6"/>
      <c r="M69" s="6"/>
      <c r="N69" s="6"/>
      <c r="O69" s="6"/>
      <c r="P69" s="6"/>
      <c r="Q69" s="6"/>
    </row>
    <row r="70" spans="1:17" x14ac:dyDescent="0.2">
      <c r="A70" s="6"/>
      <c r="B70" s="6"/>
      <c r="C70" s="6"/>
      <c r="D70" s="6"/>
      <c r="E70" s="6"/>
      <c r="F70" s="6"/>
      <c r="G70" s="6"/>
      <c r="H70" s="6"/>
      <c r="I70" s="6"/>
      <c r="J70" s="6"/>
      <c r="K70" s="6"/>
      <c r="L70" s="6"/>
      <c r="M70" s="6"/>
      <c r="N70" s="6"/>
      <c r="O70" s="6"/>
      <c r="P70" s="6"/>
      <c r="Q70" s="6"/>
    </row>
  </sheetData>
  <sheetProtection password="F696" sheet="1" objects="1" scenarios="1" selectLockedCells="1"/>
  <customSheetViews>
    <customSheetView guid="{3DA56FC4-53DE-48E1-9C8B-99A7C6BEC59A}" showRuler="0">
      <selection activeCell="L3" sqref="L3"/>
      <pageMargins left="0.78740157480314965" right="0.59055118110236227" top="0.78740157480314965" bottom="0.98425196850393704" header="0" footer="0"/>
      <pageSetup paperSize="5" scale="96" orientation="portrait" horizontalDpi="300" verticalDpi="0" r:id="rId1"/>
      <headerFooter alignWithMargins="0"/>
    </customSheetView>
    <customSheetView guid="{3055A696-E36D-42C0-8DEA-BCF75BC71F7B}" topLeftCell="A10">
      <selection activeCell="I40" sqref="I40:J40"/>
      <pageMargins left="0.78740157480314965" right="0.59055118110236227" top="0.78740157480314965" bottom="0.98425196850393704" header="0" footer="0"/>
      <pageSetup paperSize="5" scale="96" orientation="portrait" horizontalDpi="300" verticalDpi="1200" r:id="rId2"/>
      <headerFooter alignWithMargins="0"/>
    </customSheetView>
  </customSheetViews>
  <mergeCells count="24">
    <mergeCell ref="A1:L1"/>
    <mergeCell ref="A2:L2"/>
    <mergeCell ref="G40:H40"/>
    <mergeCell ref="E11:F11"/>
    <mergeCell ref="D6:J6"/>
    <mergeCell ref="A4:L4"/>
    <mergeCell ref="G39:H39"/>
    <mergeCell ref="A38:F38"/>
    <mergeCell ref="G38:H38"/>
    <mergeCell ref="I15:J15"/>
    <mergeCell ref="I40:J40"/>
    <mergeCell ref="I38:J38"/>
    <mergeCell ref="F16:G16"/>
    <mergeCell ref="F17:G17"/>
    <mergeCell ref="F18:G18"/>
    <mergeCell ref="F19:G19"/>
    <mergeCell ref="D36:L36"/>
    <mergeCell ref="J48:K48"/>
    <mergeCell ref="K47:L47"/>
    <mergeCell ref="I47:J47"/>
    <mergeCell ref="K38:L38"/>
    <mergeCell ref="K39:L39"/>
    <mergeCell ref="K40:L40"/>
    <mergeCell ref="I39:J39"/>
  </mergeCells>
  <phoneticPr fontId="20" type="noConversion"/>
  <pageMargins left="0.78740157480314965" right="0.59055118110236227" top="0.78740157480314965" bottom="0.98425196850393704" header="0" footer="0"/>
  <pageSetup paperSize="5" scale="96" orientation="portrait" horizontalDpi="300" verticalDpi="12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indexed="43"/>
  </sheetPr>
  <dimension ref="A1:AJ83"/>
  <sheetViews>
    <sheetView workbookViewId="0"/>
  </sheetViews>
  <sheetFormatPr baseColWidth="10" defaultRowHeight="12.75" x14ac:dyDescent="0.2"/>
  <cols>
    <col min="1" max="1" width="3.5703125" customWidth="1"/>
    <col min="2" max="2" width="2.7109375" customWidth="1"/>
    <col min="3" max="3" width="3.140625" customWidth="1"/>
    <col min="4" max="5" width="2.42578125" customWidth="1"/>
    <col min="6" max="6" width="2.5703125" customWidth="1"/>
    <col min="7" max="7" width="3.28515625" customWidth="1"/>
    <col min="8" max="8" width="2.85546875" customWidth="1"/>
    <col min="9" max="9" width="2" customWidth="1"/>
    <col min="10" max="10" width="7.140625" customWidth="1"/>
    <col min="11" max="11" width="3.42578125" customWidth="1"/>
    <col min="12" max="12" width="2.7109375" customWidth="1"/>
    <col min="13" max="13" width="2.85546875" customWidth="1"/>
    <col min="14" max="15" width="3.28515625" customWidth="1"/>
    <col min="16" max="16" width="3" customWidth="1"/>
    <col min="17" max="17" width="2.7109375" customWidth="1"/>
    <col min="18" max="18" width="3.28515625" customWidth="1"/>
    <col min="19" max="20" width="3.140625" customWidth="1"/>
    <col min="21" max="21" width="2.85546875" customWidth="1"/>
    <col min="22" max="22" width="2.7109375" customWidth="1"/>
    <col min="23" max="23" width="3.5703125" customWidth="1"/>
    <col min="24" max="24" width="2.7109375" customWidth="1"/>
    <col min="25" max="25" width="2.5703125" customWidth="1"/>
    <col min="26" max="26" width="3.42578125" customWidth="1"/>
    <col min="27" max="27" width="2.5703125" customWidth="1"/>
    <col min="28" max="28" width="5.85546875" customWidth="1"/>
  </cols>
  <sheetData>
    <row r="1" spans="1:36" ht="14.25" x14ac:dyDescent="0.2">
      <c r="A1" s="5"/>
      <c r="B1" s="5"/>
      <c r="C1" s="5"/>
      <c r="D1" s="5"/>
      <c r="E1" s="5"/>
      <c r="F1" s="5"/>
      <c r="G1" s="5"/>
      <c r="H1" s="873"/>
      <c r="I1" s="873"/>
      <c r="J1" s="873"/>
      <c r="K1" s="873"/>
      <c r="L1" s="873"/>
      <c r="M1" s="873"/>
      <c r="N1" s="873"/>
      <c r="O1" s="873"/>
      <c r="P1" s="873"/>
      <c r="Q1" s="873"/>
      <c r="R1" s="873"/>
      <c r="S1" s="873"/>
      <c r="T1" s="873"/>
      <c r="U1" s="6"/>
      <c r="V1" s="6"/>
      <c r="W1" s="6"/>
      <c r="X1" s="6"/>
      <c r="Y1" s="6"/>
      <c r="Z1" s="6"/>
      <c r="AA1" s="6"/>
      <c r="AB1" s="35"/>
      <c r="AC1" s="6"/>
      <c r="AD1" s="6"/>
      <c r="AE1" s="6"/>
      <c r="AF1" s="6"/>
      <c r="AG1" s="6"/>
      <c r="AH1" s="6"/>
      <c r="AI1" s="6"/>
      <c r="AJ1" s="6"/>
    </row>
    <row r="2" spans="1:36" ht="14.25" x14ac:dyDescent="0.2">
      <c r="A2" s="6"/>
      <c r="B2" s="6"/>
      <c r="C2" s="6"/>
      <c r="D2" s="6"/>
      <c r="E2" s="6"/>
      <c r="F2" s="6"/>
      <c r="G2" s="6"/>
      <c r="H2" s="873"/>
      <c r="I2" s="873"/>
      <c r="J2" s="873"/>
      <c r="K2" s="873"/>
      <c r="L2" s="873"/>
      <c r="M2" s="873"/>
      <c r="N2" s="873"/>
      <c r="O2" s="873"/>
      <c r="P2" s="873"/>
      <c r="Q2" s="873"/>
      <c r="R2" s="873"/>
      <c r="S2" s="873"/>
      <c r="T2" s="873"/>
      <c r="U2" s="6"/>
      <c r="V2" s="6"/>
      <c r="W2" s="6"/>
      <c r="X2" s="6"/>
      <c r="Y2" s="6"/>
      <c r="Z2" s="6"/>
      <c r="AA2" s="5"/>
      <c r="AB2" s="16"/>
      <c r="AC2" s="6"/>
      <c r="AD2" s="6"/>
      <c r="AE2" s="6"/>
      <c r="AF2" s="6"/>
      <c r="AG2" s="6"/>
      <c r="AH2" s="6"/>
      <c r="AI2" s="6"/>
      <c r="AJ2" s="6"/>
    </row>
    <row r="3" spans="1:36" x14ac:dyDescent="0.2">
      <c r="A3" s="6"/>
      <c r="B3" s="6"/>
      <c r="C3" s="6"/>
      <c r="D3" s="6"/>
      <c r="E3" s="6"/>
      <c r="F3" s="6"/>
      <c r="H3" s="875"/>
      <c r="I3" s="875"/>
      <c r="J3" s="875"/>
      <c r="K3" s="875"/>
      <c r="L3" s="875"/>
      <c r="M3" s="875"/>
      <c r="N3" s="875"/>
      <c r="O3" s="875"/>
      <c r="P3" s="875"/>
      <c r="Q3" s="875"/>
      <c r="R3" s="875"/>
      <c r="S3" s="875"/>
      <c r="T3" s="875"/>
      <c r="U3" s="6"/>
      <c r="V3" s="6"/>
      <c r="W3" s="6"/>
      <c r="X3" s="6"/>
      <c r="Y3" s="6"/>
      <c r="Z3" s="6"/>
      <c r="AA3" s="6"/>
      <c r="AB3" s="6"/>
      <c r="AC3" s="6"/>
      <c r="AD3" s="6"/>
      <c r="AE3" s="6"/>
      <c r="AF3" s="6"/>
      <c r="AG3" s="6"/>
      <c r="AH3" s="6"/>
      <c r="AI3" s="6"/>
      <c r="AJ3" s="6"/>
    </row>
    <row r="4" spans="1:36" x14ac:dyDescent="0.2">
      <c r="A4" s="5"/>
      <c r="B4" s="7"/>
      <c r="C4" s="6"/>
      <c r="D4" s="5"/>
      <c r="E4" s="6"/>
      <c r="F4" s="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2">
      <c r="A5" s="6"/>
      <c r="B5" s="6"/>
      <c r="C5" s="6"/>
      <c r="D5" s="6"/>
      <c r="E5" s="6"/>
      <c r="F5" s="6"/>
      <c r="G5" s="6"/>
      <c r="H5" s="9"/>
      <c r="I5" s="9"/>
      <c r="J5" s="1307" t="str">
        <f>IF(Datos!K59="Reajuste","CONTRATO DE REAJUSTE",".")</f>
        <v>.</v>
      </c>
      <c r="K5" s="1307"/>
      <c r="L5" s="1307"/>
      <c r="M5" s="1307"/>
      <c r="N5" s="1307"/>
      <c r="O5" s="1307"/>
      <c r="P5" s="1307"/>
      <c r="Q5" s="1307"/>
      <c r="R5" s="1307"/>
      <c r="S5" s="6"/>
      <c r="T5" s="6"/>
      <c r="U5" s="6"/>
      <c r="V5" s="6"/>
      <c r="W5" s="6"/>
      <c r="X5" s="6"/>
      <c r="Y5" s="6"/>
      <c r="Z5" s="6"/>
      <c r="AA5" s="6"/>
      <c r="AB5" s="6"/>
      <c r="AC5" s="6"/>
      <c r="AD5" s="6"/>
      <c r="AE5" s="6"/>
      <c r="AF5" s="6"/>
      <c r="AG5" s="6"/>
      <c r="AH5" s="6"/>
      <c r="AI5" s="6"/>
      <c r="AJ5" s="6"/>
    </row>
    <row r="6" spans="1:36" x14ac:dyDescent="0.2">
      <c r="A6" s="9" t="s">
        <v>141</v>
      </c>
      <c r="B6" s="9"/>
      <c r="C6" s="9"/>
      <c r="D6" s="9"/>
      <c r="F6" s="178">
        <f>Datos!K37</f>
        <v>0</v>
      </c>
      <c r="G6" s="6"/>
      <c r="H6" s="6"/>
      <c r="I6" s="6"/>
      <c r="K6" s="9" t="s">
        <v>142</v>
      </c>
      <c r="L6" s="9"/>
      <c r="M6" s="1308">
        <f>Datos!K38</f>
        <v>0</v>
      </c>
      <c r="N6" s="1308"/>
      <c r="O6" s="1308"/>
      <c r="P6" s="1308"/>
      <c r="Q6" s="1308"/>
      <c r="R6" s="1308"/>
      <c r="S6" s="1309">
        <f>Datos!K39</f>
        <v>0</v>
      </c>
      <c r="T6" s="1309"/>
      <c r="U6" s="9" t="s">
        <v>143</v>
      </c>
      <c r="V6" s="9"/>
      <c r="W6" s="9"/>
      <c r="X6" s="180">
        <f>Datos!K40</f>
        <v>0</v>
      </c>
      <c r="Y6" s="180"/>
      <c r="Z6" s="180"/>
      <c r="AA6" s="9"/>
      <c r="AB6" s="10" t="s">
        <v>144</v>
      </c>
      <c r="AC6" s="6"/>
      <c r="AD6" s="6"/>
      <c r="AE6" s="6"/>
      <c r="AF6" s="6"/>
      <c r="AG6" s="6"/>
      <c r="AH6" s="6"/>
      <c r="AI6" s="6"/>
      <c r="AJ6" s="6"/>
    </row>
    <row r="7" spans="1:36" x14ac:dyDescent="0.2">
      <c r="A7" s="1311">
        <f>Datos!K41</f>
        <v>0</v>
      </c>
      <c r="B7" s="1311"/>
      <c r="C7" s="1311"/>
      <c r="D7" s="1311"/>
      <c r="E7" s="1311"/>
      <c r="F7" s="1311"/>
      <c r="G7" s="1309">
        <f>Datos!K42</f>
        <v>0</v>
      </c>
      <c r="H7" s="1309"/>
      <c r="I7" s="9" t="s">
        <v>162</v>
      </c>
      <c r="J7" s="9"/>
      <c r="K7" s="9"/>
      <c r="L7" s="9"/>
      <c r="M7" s="1312">
        <f>Datos!K29</f>
        <v>0</v>
      </c>
      <c r="N7" s="1312"/>
      <c r="O7" s="1312"/>
      <c r="P7" s="1312"/>
      <c r="Q7" s="1312"/>
      <c r="R7" s="1312"/>
      <c r="S7" s="1312"/>
      <c r="T7" s="1312"/>
      <c r="U7" s="1312"/>
      <c r="V7" s="1312"/>
      <c r="W7" s="1312"/>
      <c r="X7" s="1312"/>
      <c r="Y7" s="1312"/>
      <c r="Z7" s="1312"/>
      <c r="AA7" s="9" t="s">
        <v>180</v>
      </c>
      <c r="AB7" s="6"/>
      <c r="AC7" s="6"/>
      <c r="AD7" s="6"/>
      <c r="AE7" s="6"/>
      <c r="AF7" s="6"/>
      <c r="AG7" s="6"/>
      <c r="AH7" s="6"/>
      <c r="AI7" s="6"/>
      <c r="AJ7" s="6"/>
    </row>
    <row r="8" spans="1:36" x14ac:dyDescent="0.2">
      <c r="A8" s="1313">
        <f>Datos!K30</f>
        <v>0</v>
      </c>
      <c r="B8" s="1313"/>
      <c r="C8" s="1313"/>
      <c r="D8" s="9" t="s">
        <v>147</v>
      </c>
      <c r="E8" s="9"/>
      <c r="F8" s="9"/>
      <c r="G8" s="10"/>
      <c r="H8" s="9"/>
      <c r="I8" s="9"/>
      <c r="J8" s="9"/>
      <c r="K8" s="1308">
        <f>Datos!K32</f>
        <v>0</v>
      </c>
      <c r="L8" s="1308"/>
      <c r="M8" s="1308"/>
      <c r="N8" s="1308"/>
      <c r="O8" s="1308"/>
      <c r="P8" s="1308"/>
      <c r="Q8" s="1308"/>
      <c r="R8" s="1308"/>
      <c r="S8" s="1308"/>
      <c r="T8" s="1308"/>
      <c r="U8" s="9" t="s">
        <v>35</v>
      </c>
      <c r="V8" s="1314">
        <f>Datos!K33</f>
        <v>0</v>
      </c>
      <c r="W8" s="1314"/>
      <c r="X8" s="110"/>
      <c r="Y8" s="9"/>
      <c r="Z8" s="9"/>
      <c r="AA8" s="9"/>
      <c r="AB8" s="10" t="s">
        <v>145</v>
      </c>
      <c r="AC8" s="6"/>
      <c r="AD8" s="6"/>
      <c r="AE8" s="6"/>
      <c r="AF8" s="6"/>
      <c r="AG8" s="6"/>
      <c r="AH8" s="6"/>
      <c r="AI8" s="6"/>
      <c r="AJ8" s="6"/>
    </row>
    <row r="9" spans="1:36" x14ac:dyDescent="0.2">
      <c r="A9" s="1308">
        <f>Datos!K34</f>
        <v>0</v>
      </c>
      <c r="B9" s="1308"/>
      <c r="C9" s="1308"/>
      <c r="D9" s="1308"/>
      <c r="E9" s="1308"/>
      <c r="F9" s="1308"/>
      <c r="G9" s="1308"/>
      <c r="H9" s="9" t="s">
        <v>148</v>
      </c>
      <c r="I9" s="9"/>
      <c r="J9" s="9"/>
      <c r="K9" s="1315">
        <f>Datos!K35</f>
        <v>0</v>
      </c>
      <c r="L9" s="1315"/>
      <c r="M9" s="1315"/>
      <c r="N9" s="1315"/>
      <c r="O9" s="1315"/>
      <c r="P9" s="1315"/>
      <c r="Q9" s="1315"/>
      <c r="R9" s="9"/>
      <c r="S9" s="9"/>
      <c r="T9" s="9"/>
      <c r="U9" s="9"/>
      <c r="V9" s="9"/>
      <c r="W9" s="9"/>
      <c r="X9" s="9"/>
      <c r="Y9" s="9"/>
      <c r="Z9" s="9"/>
      <c r="AA9" s="9"/>
      <c r="AB9" s="10" t="s">
        <v>149</v>
      </c>
      <c r="AC9" s="6"/>
      <c r="AD9" s="6"/>
      <c r="AE9" s="6"/>
      <c r="AF9" s="6"/>
      <c r="AG9" s="6"/>
      <c r="AH9" s="6"/>
      <c r="AI9" s="6"/>
      <c r="AJ9" s="6"/>
    </row>
    <row r="10" spans="1:36" x14ac:dyDescent="0.2">
      <c r="A10" s="1312">
        <f>Datos!K18</f>
        <v>0</v>
      </c>
      <c r="B10" s="1312"/>
      <c r="C10" s="1312"/>
      <c r="D10" s="1312"/>
      <c r="E10" s="1312"/>
      <c r="F10" s="1312"/>
      <c r="G10" s="1312"/>
      <c r="H10" s="1312"/>
      <c r="I10" s="1312"/>
      <c r="J10" s="1312"/>
      <c r="K10" s="9" t="s">
        <v>207</v>
      </c>
      <c r="L10" s="9"/>
      <c r="M10" s="9"/>
      <c r="N10" s="1313">
        <f>Datos!K19</f>
        <v>0</v>
      </c>
      <c r="O10" s="1313"/>
      <c r="P10" s="1313"/>
      <c r="Q10" s="9" t="s">
        <v>147</v>
      </c>
      <c r="R10" s="9"/>
      <c r="S10" s="9"/>
      <c r="T10" s="9"/>
      <c r="U10" s="9"/>
      <c r="V10" s="9"/>
      <c r="W10" s="9"/>
      <c r="X10" s="1311">
        <f>Datos!K20</f>
        <v>0</v>
      </c>
      <c r="Y10" s="1311"/>
      <c r="Z10" s="1311"/>
      <c r="AA10" s="1311"/>
      <c r="AB10" s="1311"/>
      <c r="AC10" s="6"/>
      <c r="AD10" s="6"/>
      <c r="AE10" s="6"/>
      <c r="AF10" s="6"/>
      <c r="AG10" s="6"/>
      <c r="AH10" s="6"/>
      <c r="AI10" s="6"/>
      <c r="AJ10" s="6"/>
    </row>
    <row r="11" spans="1:36" x14ac:dyDescent="0.2">
      <c r="A11" s="213">
        <f>Datos!K21</f>
        <v>0</v>
      </c>
      <c r="B11" s="23"/>
      <c r="C11" s="9" t="s">
        <v>145</v>
      </c>
      <c r="D11" s="9"/>
      <c r="E11" s="9"/>
      <c r="F11" s="9"/>
      <c r="G11" s="9"/>
      <c r="H11" s="1310">
        <f>Datos!K22</f>
        <v>0</v>
      </c>
      <c r="I11" s="1310"/>
      <c r="J11" s="1310"/>
      <c r="K11" s="1310"/>
      <c r="L11" s="1310"/>
      <c r="M11" s="1310"/>
      <c r="N11" s="9" t="s">
        <v>148</v>
      </c>
      <c r="O11" s="9"/>
      <c r="P11" s="9"/>
      <c r="Q11" s="1310">
        <f>Datos!K23</f>
        <v>0</v>
      </c>
      <c r="R11" s="1310"/>
      <c r="S11" s="1310"/>
      <c r="T11" s="1310"/>
      <c r="U11" s="1310"/>
      <c r="V11" s="1310"/>
      <c r="W11" s="9"/>
      <c r="X11" s="9"/>
      <c r="Y11" s="9"/>
      <c r="Z11" s="9"/>
      <c r="AA11" s="9"/>
      <c r="AB11" s="10" t="s">
        <v>150</v>
      </c>
      <c r="AC11" s="6"/>
      <c r="AD11" s="6"/>
      <c r="AE11" s="6"/>
      <c r="AF11" s="6"/>
      <c r="AG11" s="6"/>
      <c r="AH11" s="6"/>
      <c r="AI11" s="6"/>
      <c r="AJ11" s="6"/>
    </row>
    <row r="12" spans="1:36" x14ac:dyDescent="0.2">
      <c r="A12" s="1311">
        <f>Datos!K24</f>
        <v>0</v>
      </c>
      <c r="B12" s="1311"/>
      <c r="C12" s="1311"/>
      <c r="D12" s="1311"/>
      <c r="E12" s="1311"/>
      <c r="F12" s="1311"/>
      <c r="G12" s="9" t="s">
        <v>347</v>
      </c>
      <c r="H12" s="9"/>
      <c r="I12" s="9"/>
      <c r="J12" s="9"/>
      <c r="K12" s="9"/>
      <c r="L12" s="9"/>
      <c r="M12" s="9"/>
      <c r="N12" s="9"/>
      <c r="O12" s="9"/>
      <c r="P12" s="9"/>
      <c r="Q12" s="9"/>
      <c r="R12" s="9"/>
      <c r="S12" s="9"/>
      <c r="T12" s="9"/>
      <c r="U12" s="9"/>
      <c r="V12" s="9"/>
      <c r="W12" s="9"/>
      <c r="X12" s="1311">
        <f>Datos!K26</f>
        <v>0</v>
      </c>
      <c r="Y12" s="1311"/>
      <c r="Z12" s="1311"/>
      <c r="AA12" s="9"/>
      <c r="AB12" s="10" t="s">
        <v>151</v>
      </c>
      <c r="AC12" s="6"/>
      <c r="AD12" s="6"/>
      <c r="AE12" s="6"/>
      <c r="AF12" s="6"/>
      <c r="AG12" s="6"/>
      <c r="AH12" s="6"/>
      <c r="AI12" s="6"/>
      <c r="AJ12" s="6"/>
    </row>
    <row r="13" spans="1:36" x14ac:dyDescent="0.2">
      <c r="A13" s="9" t="s">
        <v>152</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6"/>
      <c r="AD13" s="6"/>
      <c r="AE13" s="6"/>
      <c r="AF13" s="6"/>
      <c r="AG13" s="6"/>
      <c r="AH13" s="6"/>
      <c r="AI13" s="6"/>
      <c r="AJ13" s="6"/>
    </row>
    <row r="14" spans="1:36" x14ac:dyDescent="0.2">
      <c r="A14" s="9"/>
      <c r="B14" s="13" t="s">
        <v>175</v>
      </c>
      <c r="C14" s="9"/>
      <c r="D14" s="9"/>
      <c r="E14" s="9"/>
      <c r="F14" s="9"/>
      <c r="G14" s="9"/>
      <c r="H14" s="9"/>
      <c r="I14" s="9"/>
      <c r="J14" s="9"/>
      <c r="K14" s="9"/>
      <c r="L14" s="9"/>
      <c r="M14" s="9"/>
      <c r="N14" s="9"/>
      <c r="O14" s="1311">
        <f>Datos!K55</f>
        <v>0</v>
      </c>
      <c r="P14" s="1311"/>
      <c r="Q14" s="1311"/>
      <c r="R14" s="1311"/>
      <c r="S14" s="1311"/>
      <c r="T14" s="1311"/>
      <c r="U14" s="1311"/>
      <c r="V14" s="1311"/>
      <c r="W14" s="1311"/>
      <c r="X14" s="1311"/>
      <c r="Y14" s="1311"/>
      <c r="Z14" s="1311"/>
      <c r="AA14" s="1311"/>
      <c r="AB14" s="1311"/>
      <c r="AC14" s="6"/>
      <c r="AD14" s="6"/>
      <c r="AE14" s="6"/>
      <c r="AF14" s="6"/>
      <c r="AG14" s="6"/>
      <c r="AH14" s="6"/>
      <c r="AI14" s="6"/>
      <c r="AJ14" s="6"/>
    </row>
    <row r="15" spans="1:36" x14ac:dyDescent="0.2">
      <c r="A15" s="9" t="s">
        <v>153</v>
      </c>
      <c r="B15" s="14"/>
      <c r="C15" s="9"/>
      <c r="D15" s="9"/>
      <c r="E15" s="9"/>
      <c r="F15" s="9"/>
      <c r="G15" s="9"/>
      <c r="H15" s="1315">
        <f>Datos!K45</f>
        <v>0</v>
      </c>
      <c r="I15" s="1315"/>
      <c r="J15" s="1315"/>
      <c r="K15" s="1315"/>
      <c r="L15" s="1315"/>
      <c r="M15" s="1316" t="s">
        <v>35</v>
      </c>
      <c r="N15" s="1316"/>
      <c r="O15" s="1316"/>
      <c r="P15" s="1317">
        <f>Datos!K46</f>
        <v>0</v>
      </c>
      <c r="Q15" s="1317"/>
      <c r="R15" s="11" t="s">
        <v>412</v>
      </c>
      <c r="S15" s="11"/>
      <c r="T15" s="6"/>
      <c r="U15" s="6"/>
      <c r="W15" s="1315">
        <f>Datos!K47</f>
        <v>0</v>
      </c>
      <c r="X15" s="1315"/>
      <c r="Y15" s="1315"/>
      <c r="Z15" s="1315"/>
      <c r="AA15" s="1315"/>
      <c r="AB15" s="1315"/>
      <c r="AC15" s="6"/>
      <c r="AD15" s="6"/>
      <c r="AE15" s="6"/>
      <c r="AF15" s="6"/>
      <c r="AG15" s="6"/>
      <c r="AH15" s="6"/>
      <c r="AI15" s="6"/>
      <c r="AJ15" s="6"/>
    </row>
    <row r="16" spans="1:36" x14ac:dyDescent="0.2">
      <c r="A16" s="9" t="s">
        <v>155</v>
      </c>
      <c r="B16" s="9"/>
      <c r="C16" s="9"/>
      <c r="D16" s="14"/>
      <c r="E16" s="1326">
        <f>Datos!K48</f>
        <v>0</v>
      </c>
      <c r="F16" s="1326"/>
      <c r="G16" s="1326"/>
      <c r="H16" s="1326"/>
      <c r="I16" s="1326"/>
      <c r="J16" s="1326"/>
      <c r="K16" s="1326"/>
      <c r="L16" s="1326"/>
      <c r="M16" s="1326"/>
      <c r="N16" s="1326"/>
      <c r="O16" s="1326"/>
      <c r="P16" s="14"/>
      <c r="Q16" s="14"/>
      <c r="R16" s="6"/>
      <c r="S16" s="6"/>
      <c r="T16" s="6"/>
      <c r="U16" s="6"/>
      <c r="V16" s="6"/>
      <c r="W16" s="6"/>
      <c r="X16" s="6"/>
      <c r="Y16" s="6"/>
      <c r="Z16" s="6"/>
      <c r="AA16" s="6"/>
      <c r="AC16" s="6"/>
      <c r="AD16" s="6"/>
      <c r="AE16" s="6"/>
      <c r="AF16" s="6"/>
      <c r="AG16" s="6"/>
      <c r="AH16" s="6"/>
      <c r="AI16" s="6"/>
      <c r="AJ16" s="6"/>
    </row>
    <row r="17" spans="1:36" x14ac:dyDescent="0.2">
      <c r="A17" s="9" t="s">
        <v>156</v>
      </c>
      <c r="B17" s="14"/>
      <c r="C17" s="179">
        <f>Datos!K49</f>
        <v>0</v>
      </c>
      <c r="D17" s="14"/>
      <c r="E17" s="9" t="s">
        <v>157</v>
      </c>
      <c r="F17" s="9"/>
      <c r="G17" s="179">
        <f>Datos!K50</f>
        <v>0</v>
      </c>
      <c r="H17" s="14"/>
      <c r="I17" s="9" t="s">
        <v>158</v>
      </c>
      <c r="J17" s="14"/>
      <c r="K17" s="1327">
        <f>Datos!K51</f>
        <v>0</v>
      </c>
      <c r="L17" s="1327"/>
      <c r="M17" s="14"/>
      <c r="N17" s="9" t="s">
        <v>159</v>
      </c>
      <c r="O17" s="9"/>
      <c r="P17" s="1327">
        <f>Datos!K52</f>
        <v>0</v>
      </c>
      <c r="Q17" s="1327"/>
      <c r="R17" s="9" t="s">
        <v>42</v>
      </c>
      <c r="T17" s="114">
        <f>Datos!K53</f>
        <v>0</v>
      </c>
      <c r="U17" s="9"/>
      <c r="V17" s="9"/>
      <c r="W17" s="9"/>
      <c r="X17" s="14"/>
      <c r="Y17" s="14"/>
      <c r="Z17" s="14"/>
      <c r="AA17" s="14"/>
      <c r="AB17" s="14"/>
      <c r="AC17" s="6"/>
      <c r="AD17" s="6"/>
      <c r="AE17" s="6"/>
      <c r="AF17" s="6"/>
      <c r="AG17" s="6"/>
      <c r="AH17" s="6"/>
      <c r="AI17" s="6"/>
      <c r="AJ17" s="6"/>
    </row>
    <row r="18" spans="1:36" x14ac:dyDescent="0.2">
      <c r="A18" s="14"/>
      <c r="B18" s="13" t="s">
        <v>206</v>
      </c>
      <c r="C18" s="14"/>
      <c r="D18" s="14"/>
      <c r="E18" s="14"/>
      <c r="F18" s="14"/>
      <c r="G18" s="14"/>
      <c r="H18" s="14"/>
      <c r="I18" s="9"/>
      <c r="J18" s="9"/>
      <c r="K18" s="9"/>
      <c r="L18" s="9"/>
      <c r="M18" s="9"/>
      <c r="N18" s="9"/>
      <c r="O18" s="9"/>
      <c r="P18" s="9"/>
      <c r="Q18" s="28" t="s">
        <v>185</v>
      </c>
      <c r="R18" s="24"/>
      <c r="S18" s="24"/>
      <c r="T18" s="24"/>
      <c r="U18" s="24"/>
      <c r="V18" s="24"/>
      <c r="W18" s="24"/>
      <c r="X18" s="24"/>
      <c r="Y18" s="24"/>
      <c r="Z18" s="24"/>
      <c r="AA18" s="25"/>
      <c r="AB18" s="14"/>
      <c r="AC18" s="6"/>
      <c r="AD18" s="6"/>
      <c r="AE18" s="6"/>
      <c r="AF18" s="6"/>
      <c r="AG18" s="6"/>
      <c r="AH18" s="6"/>
      <c r="AI18" s="6"/>
      <c r="AJ18" s="6"/>
    </row>
    <row r="19" spans="1:36" x14ac:dyDescent="0.2">
      <c r="A19" s="9" t="s">
        <v>590</v>
      </c>
      <c r="B19" s="9"/>
      <c r="C19" s="9"/>
      <c r="D19" s="9"/>
      <c r="E19" s="9"/>
      <c r="F19" s="9"/>
      <c r="G19" s="9"/>
      <c r="H19" s="9"/>
      <c r="I19" s="9"/>
      <c r="J19" s="9"/>
      <c r="K19" s="9"/>
      <c r="L19" s="9"/>
      <c r="M19" s="9"/>
      <c r="N19" s="9"/>
      <c r="P19" s="9"/>
      <c r="Q19" s="36"/>
      <c r="R19" s="9"/>
      <c r="S19" s="9"/>
      <c r="T19" s="9"/>
      <c r="U19" s="9"/>
      <c r="V19" s="9"/>
      <c r="W19" s="9"/>
      <c r="X19" s="9"/>
      <c r="Y19" s="9"/>
      <c r="Z19" s="9"/>
      <c r="AA19" s="37"/>
      <c r="AB19" s="9"/>
      <c r="AC19" s="6"/>
      <c r="AD19" s="6"/>
      <c r="AE19" s="6"/>
      <c r="AF19" s="6"/>
      <c r="AG19" s="6"/>
      <c r="AH19" s="6"/>
      <c r="AI19" s="6"/>
      <c r="AJ19" s="6"/>
    </row>
    <row r="20" spans="1:36" x14ac:dyDescent="0.2">
      <c r="A20" s="9" t="s">
        <v>591</v>
      </c>
      <c r="B20" s="9"/>
      <c r="C20" s="9"/>
      <c r="D20" s="13"/>
      <c r="E20" s="9"/>
      <c r="F20" s="9"/>
      <c r="G20" s="9"/>
      <c r="H20" s="9"/>
      <c r="I20" s="9"/>
      <c r="J20" s="9"/>
      <c r="K20" s="9"/>
      <c r="L20" s="9"/>
      <c r="M20" s="9"/>
      <c r="N20" s="9"/>
      <c r="O20" s="9"/>
      <c r="Q20" s="26"/>
      <c r="R20" s="15"/>
      <c r="S20" s="15"/>
      <c r="T20" s="15"/>
      <c r="U20" s="15"/>
      <c r="V20" s="15"/>
      <c r="W20" s="15"/>
      <c r="X20" s="15"/>
      <c r="Y20" s="15"/>
      <c r="Z20" s="15"/>
      <c r="AA20" s="37"/>
      <c r="AB20" s="9"/>
      <c r="AC20" s="6"/>
      <c r="AD20" s="6"/>
      <c r="AE20" s="6"/>
      <c r="AF20" s="6"/>
      <c r="AG20" s="6"/>
      <c r="AH20" s="6"/>
      <c r="AI20" s="6"/>
      <c r="AJ20" s="6"/>
    </row>
    <row r="21" spans="1:36" x14ac:dyDescent="0.2">
      <c r="A21" s="1328" t="str">
        <f>Datos!F130</f>
        <v>CERO CON 00/100</v>
      </c>
      <c r="B21" s="1328"/>
      <c r="C21" s="1328"/>
      <c r="D21" s="1328"/>
      <c r="E21" s="1328"/>
      <c r="F21" s="1328"/>
      <c r="G21" s="1328"/>
      <c r="H21" s="1328"/>
      <c r="I21" s="1328"/>
      <c r="J21" s="1328"/>
      <c r="K21" s="1328"/>
      <c r="L21" s="1328"/>
      <c r="M21" s="1328"/>
      <c r="N21" s="1328"/>
      <c r="O21" s="1328"/>
      <c r="P21" s="115"/>
      <c r="Q21" s="26"/>
      <c r="R21" s="15"/>
      <c r="S21" s="15"/>
      <c r="T21" s="15"/>
      <c r="U21" s="15"/>
      <c r="V21" s="15"/>
      <c r="W21" s="15"/>
      <c r="X21" s="15"/>
      <c r="Y21" s="15"/>
      <c r="Z21" s="15"/>
      <c r="AA21" s="37"/>
      <c r="AB21" s="9"/>
      <c r="AC21" s="6"/>
      <c r="AD21" s="6"/>
      <c r="AE21" s="6"/>
      <c r="AF21" s="6"/>
      <c r="AG21" s="6"/>
      <c r="AH21" s="6"/>
      <c r="AI21" s="6"/>
      <c r="AJ21" s="6"/>
    </row>
    <row r="22" spans="1:36" x14ac:dyDescent="0.2">
      <c r="A22" s="1319">
        <f>Datos!R129</f>
        <v>0</v>
      </c>
      <c r="B22" s="1319"/>
      <c r="C22" s="1319"/>
      <c r="D22" s="1319"/>
      <c r="E22" s="9"/>
      <c r="F22" s="9"/>
      <c r="G22" s="9"/>
      <c r="H22" s="9"/>
      <c r="I22" s="9"/>
      <c r="J22" s="9"/>
      <c r="K22" s="9"/>
      <c r="L22" s="9"/>
      <c r="N22" s="9"/>
      <c r="O22" s="10" t="s">
        <v>190</v>
      </c>
      <c r="P22" s="15"/>
      <c r="Q22" s="26"/>
      <c r="R22" s="15"/>
      <c r="S22" s="15"/>
      <c r="T22" s="15"/>
      <c r="U22" s="15"/>
      <c r="V22" s="15"/>
      <c r="W22" s="15"/>
      <c r="X22" s="15"/>
      <c r="Y22" s="15"/>
      <c r="Z22" s="15"/>
      <c r="AA22" s="37"/>
      <c r="AB22" s="9"/>
      <c r="AC22" s="6"/>
      <c r="AD22" s="6"/>
      <c r="AE22" s="6"/>
      <c r="AF22" s="6"/>
      <c r="AG22" s="6"/>
      <c r="AH22" s="6"/>
      <c r="AI22" s="6"/>
      <c r="AJ22" s="6"/>
    </row>
    <row r="23" spans="1:36" x14ac:dyDescent="0.2">
      <c r="A23" s="9" t="s">
        <v>194</v>
      </c>
      <c r="B23" s="9"/>
      <c r="C23" s="9"/>
      <c r="D23" s="9"/>
      <c r="E23" s="9"/>
      <c r="F23" s="9"/>
      <c r="G23" s="9"/>
      <c r="H23" s="9"/>
      <c r="I23" s="9"/>
      <c r="J23" s="9"/>
      <c r="K23" s="9"/>
      <c r="L23" s="9"/>
      <c r="M23" s="9"/>
      <c r="N23" s="9"/>
      <c r="O23" s="15"/>
      <c r="P23" s="15"/>
      <c r="Q23" s="26"/>
      <c r="R23" s="15"/>
      <c r="S23" s="15"/>
      <c r="T23" s="15"/>
      <c r="U23" s="15"/>
      <c r="V23" s="15"/>
      <c r="W23" s="15"/>
      <c r="X23" s="15"/>
      <c r="Y23" s="15"/>
      <c r="Z23" s="15"/>
      <c r="AA23" s="37"/>
      <c r="AB23" s="9"/>
      <c r="AC23" s="6"/>
      <c r="AD23" s="6"/>
      <c r="AE23" s="6"/>
      <c r="AF23" s="6"/>
      <c r="AG23" s="6"/>
      <c r="AH23" s="6"/>
      <c r="AI23" s="6"/>
      <c r="AJ23" s="6"/>
    </row>
    <row r="24" spans="1:36" x14ac:dyDescent="0.2">
      <c r="A24" s="9" t="s">
        <v>195</v>
      </c>
      <c r="B24" s="9"/>
      <c r="C24" s="9"/>
      <c r="D24" s="9"/>
      <c r="E24" s="9"/>
      <c r="F24" s="9"/>
      <c r="G24" s="9"/>
      <c r="H24" s="9"/>
      <c r="I24" s="9"/>
      <c r="J24" s="9"/>
      <c r="K24" s="9"/>
      <c r="L24" s="9"/>
      <c r="M24" s="9"/>
      <c r="N24" s="9"/>
      <c r="O24" s="15"/>
      <c r="P24" s="15"/>
      <c r="Q24" s="26"/>
      <c r="R24" s="15"/>
      <c r="S24" s="15"/>
      <c r="T24" s="15"/>
      <c r="U24" s="15"/>
      <c r="V24" s="15"/>
      <c r="W24" s="15"/>
      <c r="X24" s="15"/>
      <c r="Y24" s="15"/>
      <c r="Z24" s="15"/>
      <c r="AA24" s="37"/>
      <c r="AB24" s="9"/>
      <c r="AC24" s="6"/>
      <c r="AD24" s="6"/>
      <c r="AE24" s="6"/>
      <c r="AF24" s="6"/>
      <c r="AG24" s="6"/>
      <c r="AH24" s="6"/>
      <c r="AI24" s="6"/>
      <c r="AJ24" s="6"/>
    </row>
    <row r="25" spans="1:36" x14ac:dyDescent="0.2">
      <c r="A25" s="9"/>
      <c r="B25" s="13" t="s">
        <v>504</v>
      </c>
      <c r="C25" s="9"/>
      <c r="D25" s="9"/>
      <c r="F25" s="9"/>
      <c r="G25" s="9"/>
      <c r="H25" s="1312">
        <f>Datos!K29</f>
        <v>0</v>
      </c>
      <c r="I25" s="1312"/>
      <c r="J25" s="1312"/>
      <c r="K25" s="1312"/>
      <c r="L25" s="1312"/>
      <c r="M25" s="1312"/>
      <c r="N25" s="1312"/>
      <c r="O25" s="1312"/>
      <c r="P25" s="1321"/>
      <c r="Q25" s="26"/>
      <c r="R25" s="15"/>
      <c r="S25" s="15"/>
      <c r="T25" s="15"/>
      <c r="U25" s="15"/>
      <c r="V25" s="15"/>
      <c r="W25" s="15"/>
      <c r="X25" s="15"/>
      <c r="Y25" s="15"/>
      <c r="Z25" s="15"/>
      <c r="AA25" s="37"/>
      <c r="AB25" s="9"/>
      <c r="AC25" s="6"/>
      <c r="AD25" s="6"/>
      <c r="AE25" s="6"/>
      <c r="AF25" s="6"/>
      <c r="AG25" s="6"/>
      <c r="AH25" s="6"/>
      <c r="AI25" s="6"/>
      <c r="AJ25" s="6"/>
    </row>
    <row r="26" spans="1:36" x14ac:dyDescent="0.2">
      <c r="A26" s="9" t="s">
        <v>196</v>
      </c>
      <c r="B26" s="6"/>
      <c r="C26" s="6"/>
      <c r="D26" s="6"/>
      <c r="E26" s="6"/>
      <c r="F26" s="6"/>
      <c r="G26" s="6"/>
      <c r="H26" s="6"/>
      <c r="I26" s="6"/>
      <c r="J26" s="6"/>
      <c r="K26" s="6"/>
      <c r="L26" s="6"/>
      <c r="M26" s="6"/>
      <c r="N26" s="6"/>
      <c r="O26" s="6"/>
      <c r="P26" s="44"/>
      <c r="Q26" s="26"/>
      <c r="R26" s="15"/>
      <c r="S26" s="15"/>
      <c r="T26" s="15"/>
      <c r="U26" s="15"/>
      <c r="V26" s="15"/>
      <c r="W26" s="15"/>
      <c r="X26" s="15"/>
      <c r="Y26" s="15"/>
      <c r="Z26" s="15"/>
      <c r="AA26" s="37"/>
      <c r="AB26" s="9"/>
      <c r="AC26" s="6"/>
      <c r="AD26" s="6"/>
      <c r="AE26" s="6"/>
      <c r="AF26" s="6"/>
      <c r="AG26" s="6"/>
      <c r="AH26" s="6"/>
      <c r="AI26" s="6"/>
      <c r="AJ26" s="6"/>
    </row>
    <row r="27" spans="1:36" x14ac:dyDescent="0.2">
      <c r="A27" s="9" t="s">
        <v>710</v>
      </c>
      <c r="B27" s="6"/>
      <c r="C27" s="9"/>
      <c r="D27" s="9"/>
      <c r="E27" s="9"/>
      <c r="F27" s="9"/>
      <c r="G27" s="6"/>
      <c r="H27" s="9" t="s">
        <v>324</v>
      </c>
      <c r="I27" s="6"/>
      <c r="J27" s="6"/>
      <c r="K27" s="9"/>
      <c r="L27" s="46"/>
      <c r="M27" s="46"/>
      <c r="N27" s="46"/>
      <c r="O27" s="46"/>
      <c r="P27" s="44"/>
      <c r="Q27" s="26"/>
      <c r="R27" s="15"/>
      <c r="S27" s="15"/>
      <c r="T27" s="15"/>
      <c r="U27" s="15"/>
      <c r="V27" s="15"/>
      <c r="W27" s="15"/>
      <c r="X27" s="15"/>
      <c r="Y27" s="15"/>
      <c r="Z27" s="15"/>
      <c r="AA27" s="37"/>
      <c r="AB27" s="9"/>
      <c r="AC27" s="6"/>
      <c r="AD27" s="6"/>
      <c r="AE27" s="6"/>
      <c r="AF27" s="6"/>
      <c r="AG27" s="6"/>
      <c r="AH27" s="6"/>
      <c r="AI27" s="6"/>
      <c r="AJ27" s="6"/>
    </row>
    <row r="28" spans="1:36" x14ac:dyDescent="0.2">
      <c r="A28" s="1323" t="str">
        <f>Anexa!D12</f>
        <v>OTRO PROFESIONAL ASUME LA CONSTRUCCION</v>
      </c>
      <c r="B28" s="1211"/>
      <c r="C28" s="1211"/>
      <c r="D28" s="1211"/>
      <c r="E28" s="1211"/>
      <c r="F28" s="1211"/>
      <c r="G28" s="1211"/>
      <c r="H28" s="1211"/>
      <c r="I28" s="1211"/>
      <c r="J28" s="1211"/>
      <c r="K28" s="1324" t="str">
        <f>Anexa!G12</f>
        <v>.</v>
      </c>
      <c r="L28" s="1211"/>
      <c r="M28" s="1211"/>
      <c r="N28" s="1211"/>
      <c r="O28" s="1211"/>
      <c r="P28" s="1325"/>
      <c r="Q28" s="26"/>
      <c r="R28" s="15"/>
      <c r="S28" s="15"/>
      <c r="T28" s="15"/>
      <c r="U28" s="15"/>
      <c r="V28" s="15"/>
      <c r="W28" s="15"/>
      <c r="X28" s="15"/>
      <c r="Y28" s="15"/>
      <c r="Z28" s="15"/>
      <c r="AA28" s="37"/>
      <c r="AB28" s="9"/>
      <c r="AC28" s="6"/>
      <c r="AD28" s="6"/>
      <c r="AE28" s="6"/>
      <c r="AF28" s="6"/>
      <c r="AG28" s="6"/>
      <c r="AH28" s="6"/>
      <c r="AI28" s="6"/>
      <c r="AJ28" s="6"/>
    </row>
    <row r="29" spans="1:36" x14ac:dyDescent="0.2">
      <c r="A29" s="43"/>
      <c r="B29" s="13" t="s">
        <v>559</v>
      </c>
      <c r="C29" s="9"/>
      <c r="D29" s="9"/>
      <c r="E29" s="9"/>
      <c r="F29" s="9"/>
      <c r="G29" s="9"/>
      <c r="H29" s="9"/>
      <c r="I29" s="9"/>
      <c r="J29" s="9"/>
      <c r="K29" s="6"/>
      <c r="L29" s="9"/>
      <c r="M29" s="9"/>
      <c r="N29" s="9"/>
      <c r="O29" s="9"/>
      <c r="P29" s="214"/>
      <c r="Q29" s="27"/>
      <c r="R29" s="17"/>
      <c r="S29" s="17"/>
      <c r="T29" s="17"/>
      <c r="U29" s="17"/>
      <c r="V29" s="17"/>
      <c r="W29" s="17"/>
      <c r="X29" s="17"/>
      <c r="Y29" s="17"/>
      <c r="Z29" s="17"/>
      <c r="AA29" s="38"/>
      <c r="AB29" s="9"/>
      <c r="AC29" s="6"/>
      <c r="AD29" s="6"/>
      <c r="AE29" s="6"/>
      <c r="AF29" s="6"/>
      <c r="AG29" s="6"/>
      <c r="AH29" s="6"/>
      <c r="AI29" s="6"/>
      <c r="AJ29" s="6"/>
    </row>
    <row r="30" spans="1:36" x14ac:dyDescent="0.2">
      <c r="A30" s="9" t="s">
        <v>592</v>
      </c>
      <c r="C30" s="9"/>
      <c r="D30" s="9"/>
      <c r="E30" s="9"/>
      <c r="F30" s="9"/>
      <c r="G30" s="9"/>
      <c r="H30" s="9"/>
      <c r="I30" s="9"/>
      <c r="J30" s="9"/>
      <c r="K30" s="9"/>
      <c r="L30" s="9"/>
      <c r="M30" s="9"/>
      <c r="N30" s="9"/>
      <c r="O30" s="9"/>
      <c r="P30" s="15"/>
      <c r="R30" s="6"/>
      <c r="S30" s="6"/>
      <c r="T30" s="6"/>
      <c r="U30" s="6"/>
      <c r="V30" s="6"/>
      <c r="W30" s="6"/>
      <c r="X30" s="6"/>
      <c r="Y30" s="6"/>
      <c r="Z30" s="6"/>
      <c r="AA30" s="6"/>
      <c r="AB30" s="9"/>
      <c r="AC30" s="6"/>
      <c r="AD30" s="6"/>
      <c r="AE30" s="6"/>
      <c r="AF30" s="6"/>
      <c r="AG30" s="6"/>
      <c r="AH30" s="6"/>
      <c r="AI30" s="6"/>
      <c r="AJ30" s="6"/>
    </row>
    <row r="31" spans="1:36" x14ac:dyDescent="0.2">
      <c r="A31" s="9" t="s">
        <v>186</v>
      </c>
      <c r="B31" s="9"/>
      <c r="C31" s="1322" t="str">
        <f>Datos!F136</f>
        <v>CERO CON 00/100</v>
      </c>
      <c r="D31" s="1322"/>
      <c r="E31" s="1322"/>
      <c r="F31" s="1322"/>
      <c r="G31" s="1322"/>
      <c r="H31" s="1322"/>
      <c r="I31" s="1322"/>
      <c r="J31" s="1322"/>
      <c r="K31" s="1322"/>
      <c r="L31" s="1322"/>
      <c r="M31" s="1322"/>
      <c r="N31" s="1322"/>
      <c r="O31" s="1322"/>
      <c r="P31" s="1322"/>
      <c r="Q31" s="1322"/>
      <c r="R31" s="1322"/>
      <c r="S31" s="1322"/>
      <c r="T31" s="1319">
        <f>Datos!H134</f>
        <v>0</v>
      </c>
      <c r="U31" s="1319"/>
      <c r="V31" s="1319"/>
      <c r="W31" s="1319"/>
      <c r="X31" s="1319"/>
      <c r="Y31" s="11" t="s">
        <v>414</v>
      </c>
      <c r="Z31" s="9"/>
      <c r="AA31" s="9"/>
      <c r="AC31" s="6"/>
      <c r="AD31" s="6"/>
      <c r="AE31" s="6"/>
      <c r="AF31" s="6"/>
      <c r="AG31" s="6"/>
      <c r="AH31" s="6"/>
      <c r="AI31" s="6"/>
      <c r="AJ31" s="6"/>
    </row>
    <row r="32" spans="1:36" x14ac:dyDescent="0.2">
      <c r="A32" s="11" t="s">
        <v>657</v>
      </c>
      <c r="B32" s="11"/>
      <c r="C32" s="11"/>
      <c r="D32" s="11"/>
      <c r="E32" s="11"/>
      <c r="F32" s="11"/>
      <c r="G32" s="11"/>
      <c r="H32" s="11"/>
      <c r="I32" s="11"/>
      <c r="J32" s="11"/>
      <c r="K32" s="11"/>
      <c r="L32" s="11"/>
      <c r="M32" s="11"/>
      <c r="N32" s="11"/>
      <c r="O32" s="11"/>
      <c r="P32" s="11"/>
      <c r="Q32" s="11"/>
      <c r="R32" s="11"/>
      <c r="S32" s="9"/>
      <c r="T32" s="6"/>
      <c r="U32" s="6"/>
      <c r="V32" s="6"/>
      <c r="W32" s="6"/>
      <c r="X32" s="6"/>
      <c r="Y32" s="9"/>
      <c r="Z32" s="6"/>
      <c r="AA32" s="6"/>
      <c r="AB32" s="6"/>
      <c r="AC32" s="6"/>
      <c r="AD32" s="6"/>
      <c r="AE32" s="6"/>
      <c r="AF32" s="6"/>
      <c r="AG32" s="6"/>
      <c r="AH32" s="6"/>
      <c r="AI32" s="6"/>
      <c r="AJ32" s="6"/>
    </row>
    <row r="33" spans="1:36" x14ac:dyDescent="0.2">
      <c r="A33" s="1314" t="s">
        <v>589</v>
      </c>
      <c r="B33" s="1314"/>
      <c r="C33" s="1314"/>
      <c r="D33" s="1314"/>
      <c r="E33" s="1314"/>
      <c r="F33" s="1314"/>
      <c r="G33" s="1314"/>
      <c r="H33" s="1314"/>
      <c r="I33" s="1314"/>
      <c r="J33" s="1314"/>
      <c r="K33" s="1314"/>
      <c r="L33" s="1314"/>
      <c r="M33" s="1314"/>
      <c r="N33" s="1314"/>
      <c r="O33" s="1314"/>
      <c r="P33" s="1314"/>
      <c r="Q33" s="1314"/>
      <c r="R33" s="1314"/>
      <c r="S33" s="1314"/>
      <c r="T33" s="6"/>
      <c r="U33" s="9"/>
      <c r="V33" s="9"/>
      <c r="X33" s="111"/>
      <c r="Y33" s="10"/>
      <c r="Z33" s="6"/>
      <c r="AA33" s="6"/>
      <c r="AB33" s="6"/>
      <c r="AC33" s="6"/>
      <c r="AD33" s="6"/>
      <c r="AE33" s="6"/>
      <c r="AF33" s="6"/>
      <c r="AG33" s="6"/>
      <c r="AH33" s="6"/>
      <c r="AI33" s="6"/>
      <c r="AJ33" s="6"/>
    </row>
    <row r="34" spans="1:36" x14ac:dyDescent="0.2">
      <c r="B34" s="13" t="s">
        <v>560</v>
      </c>
      <c r="C34" s="9"/>
      <c r="D34" s="9"/>
      <c r="E34" s="10"/>
      <c r="F34" s="9"/>
      <c r="G34" s="9"/>
      <c r="H34" s="9"/>
      <c r="I34" s="9"/>
      <c r="J34" s="9"/>
      <c r="K34" s="9"/>
      <c r="L34" s="9"/>
      <c r="M34" s="9"/>
      <c r="N34" s="9"/>
      <c r="O34" s="9"/>
      <c r="P34" s="9"/>
      <c r="Q34" s="9"/>
      <c r="R34" s="9"/>
      <c r="S34" s="9"/>
      <c r="T34" s="1320">
        <f>Datos!K57</f>
        <v>0</v>
      </c>
      <c r="U34" s="1320"/>
      <c r="V34" s="1320"/>
      <c r="W34" s="1320"/>
      <c r="X34" s="1320"/>
      <c r="Y34" s="1318">
        <f>Datos!K58</f>
        <v>0</v>
      </c>
      <c r="Z34" s="1318"/>
      <c r="AA34" s="9"/>
      <c r="AB34" s="9"/>
      <c r="AC34" s="6"/>
      <c r="AD34" s="6"/>
      <c r="AE34" s="6"/>
      <c r="AF34" s="6"/>
      <c r="AG34" s="6"/>
      <c r="AH34" s="6"/>
      <c r="AI34" s="6"/>
      <c r="AJ34" s="6"/>
    </row>
    <row r="35" spans="1:36" x14ac:dyDescent="0.2">
      <c r="A35" s="9" t="s">
        <v>432</v>
      </c>
      <c r="C35" s="9"/>
      <c r="D35" s="9"/>
      <c r="E35" s="9"/>
      <c r="F35" s="9"/>
      <c r="G35" s="9"/>
      <c r="H35" s="9"/>
      <c r="I35" s="9"/>
      <c r="J35" s="9"/>
      <c r="K35" s="9"/>
      <c r="L35" s="9"/>
      <c r="M35" s="9"/>
      <c r="N35" s="9"/>
      <c r="O35" s="9"/>
      <c r="P35" s="9"/>
      <c r="Q35" s="9"/>
      <c r="R35" s="9"/>
      <c r="S35" s="9"/>
      <c r="AA35" s="9"/>
      <c r="AC35" s="6"/>
      <c r="AD35" s="6"/>
      <c r="AE35" s="6"/>
      <c r="AF35" s="6"/>
      <c r="AG35" s="6"/>
      <c r="AH35" s="6"/>
      <c r="AI35" s="6"/>
      <c r="AJ35" s="6"/>
    </row>
    <row r="36" spans="1:36" x14ac:dyDescent="0.2">
      <c r="A36" s="112" t="s">
        <v>435</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6"/>
      <c r="AD36" s="6"/>
      <c r="AE36" s="6"/>
      <c r="AF36" s="6"/>
      <c r="AG36" s="6"/>
      <c r="AH36" s="6"/>
      <c r="AI36" s="6"/>
      <c r="AJ36" s="6"/>
    </row>
    <row r="37" spans="1:36" x14ac:dyDescent="0.2">
      <c r="A37" s="29" t="s">
        <v>436</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6"/>
      <c r="AD37" s="6"/>
      <c r="AE37" s="6"/>
      <c r="AF37" s="6"/>
      <c r="AG37" s="6"/>
      <c r="AH37" s="6"/>
      <c r="AI37" s="6"/>
      <c r="AJ37" s="6"/>
    </row>
    <row r="38" spans="1:36" x14ac:dyDescent="0.2">
      <c r="A38" s="9"/>
      <c r="B38" s="30" t="s">
        <v>561</v>
      </c>
      <c r="C38" s="9"/>
      <c r="D38" s="9"/>
      <c r="E38" s="9"/>
      <c r="F38" s="9"/>
      <c r="G38" s="9"/>
      <c r="H38" s="9"/>
      <c r="I38" s="9"/>
      <c r="J38" s="9"/>
      <c r="K38" s="9"/>
      <c r="L38" s="9"/>
      <c r="M38" s="9"/>
      <c r="N38" s="9"/>
      <c r="O38" s="9"/>
      <c r="P38" s="9"/>
      <c r="Q38" s="9"/>
      <c r="R38" s="9"/>
      <c r="S38" s="9"/>
      <c r="T38" s="9"/>
      <c r="U38" s="9"/>
      <c r="V38" s="9"/>
      <c r="W38" s="9"/>
      <c r="X38" s="9"/>
      <c r="Y38" s="9"/>
      <c r="Z38" s="9"/>
      <c r="AA38" s="9"/>
      <c r="AB38" s="9"/>
      <c r="AC38" s="6"/>
      <c r="AD38" s="6"/>
      <c r="AE38" s="6"/>
      <c r="AF38" s="6"/>
      <c r="AG38" s="6"/>
      <c r="AH38" s="6"/>
      <c r="AI38" s="6"/>
      <c r="AJ38" s="6"/>
    </row>
    <row r="39" spans="1:36" x14ac:dyDescent="0.2">
      <c r="A39" s="9" t="s">
        <v>462</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6"/>
      <c r="AD39" s="6"/>
      <c r="AE39" s="6"/>
      <c r="AF39" s="6"/>
      <c r="AG39" s="6"/>
      <c r="AH39" s="6"/>
      <c r="AI39" s="6"/>
      <c r="AJ39" s="6"/>
    </row>
    <row r="40" spans="1:36" x14ac:dyDescent="0.2">
      <c r="A40" s="9"/>
      <c r="B40" s="13" t="s">
        <v>562</v>
      </c>
      <c r="C40" s="9"/>
      <c r="D40" s="9"/>
      <c r="E40" s="9"/>
      <c r="F40" s="9"/>
      <c r="G40" s="9"/>
      <c r="H40" s="9"/>
      <c r="I40" s="9"/>
      <c r="J40" s="9"/>
      <c r="K40" s="9"/>
      <c r="L40" s="9"/>
      <c r="M40" s="9"/>
      <c r="N40" s="9"/>
      <c r="O40" s="9"/>
      <c r="AB40" s="9"/>
      <c r="AC40" s="6"/>
      <c r="AD40" s="6"/>
      <c r="AE40" s="6"/>
      <c r="AF40" s="6"/>
      <c r="AG40" s="6"/>
      <c r="AH40" s="6"/>
      <c r="AI40" s="6"/>
      <c r="AJ40" s="6"/>
    </row>
    <row r="41" spans="1:36" x14ac:dyDescent="0.2">
      <c r="A41" s="29" t="s">
        <v>418</v>
      </c>
      <c r="B41" s="9"/>
      <c r="C41" s="9"/>
      <c r="D41" s="9"/>
      <c r="E41" s="9"/>
      <c r="F41" s="9"/>
      <c r="G41" s="9"/>
      <c r="H41" s="9"/>
      <c r="I41" s="9"/>
      <c r="J41" s="9"/>
      <c r="K41" s="9"/>
      <c r="L41" s="9"/>
      <c r="M41" s="9"/>
      <c r="N41" s="9"/>
      <c r="O41" s="15"/>
      <c r="P41" s="9"/>
      <c r="Q41" s="9"/>
      <c r="R41" s="9"/>
      <c r="S41" s="9"/>
      <c r="T41" s="9"/>
      <c r="U41" s="9"/>
      <c r="V41" s="9"/>
      <c r="W41" s="9"/>
      <c r="X41" s="9"/>
      <c r="Y41" s="9"/>
      <c r="Z41" s="9"/>
      <c r="AA41" s="9"/>
      <c r="AB41" s="9"/>
      <c r="AC41" s="6"/>
      <c r="AD41" s="6"/>
      <c r="AE41" s="6"/>
      <c r="AF41" s="6"/>
      <c r="AG41" s="6"/>
      <c r="AH41" s="6"/>
      <c r="AI41" s="6"/>
      <c r="AJ41" s="6"/>
    </row>
    <row r="42" spans="1:36" x14ac:dyDescent="0.2">
      <c r="A42" s="31" t="s">
        <v>419</v>
      </c>
      <c r="B42" s="9"/>
      <c r="C42" s="9"/>
      <c r="D42" s="9"/>
      <c r="E42" s="9"/>
      <c r="F42" s="9"/>
      <c r="G42" s="9"/>
      <c r="H42" s="9"/>
      <c r="I42" s="9"/>
      <c r="J42" s="9"/>
      <c r="K42" s="9"/>
      <c r="L42" s="9"/>
      <c r="M42" s="9"/>
      <c r="N42" s="9"/>
      <c r="O42" s="9"/>
      <c r="P42" s="9"/>
      <c r="Q42" s="28" t="s">
        <v>184</v>
      </c>
      <c r="R42" s="24"/>
      <c r="S42" s="24"/>
      <c r="T42" s="24"/>
      <c r="U42" s="24"/>
      <c r="V42" s="24"/>
      <c r="W42" s="24"/>
      <c r="X42" s="24"/>
      <c r="Y42" s="24"/>
      <c r="Z42" s="24"/>
      <c r="AA42" s="25"/>
      <c r="AB42" s="9"/>
      <c r="AC42" s="6"/>
      <c r="AD42" s="6"/>
      <c r="AE42" s="6"/>
      <c r="AF42" s="6"/>
      <c r="AG42" s="6"/>
      <c r="AH42" s="6"/>
      <c r="AI42" s="6"/>
      <c r="AJ42" s="6"/>
    </row>
    <row r="43" spans="1:36" x14ac:dyDescent="0.2">
      <c r="A43" s="29" t="s">
        <v>420</v>
      </c>
      <c r="B43" s="9"/>
      <c r="C43" s="9"/>
      <c r="D43" s="9"/>
      <c r="E43" s="9"/>
      <c r="F43" s="9"/>
      <c r="G43" s="9"/>
      <c r="H43" s="9"/>
      <c r="I43" s="9"/>
      <c r="J43" s="9"/>
      <c r="K43" s="9"/>
      <c r="L43" s="9"/>
      <c r="M43" s="9"/>
      <c r="N43" s="9"/>
      <c r="O43" s="15"/>
      <c r="Q43" s="36"/>
      <c r="R43" s="9"/>
      <c r="S43" s="9"/>
      <c r="T43" s="9"/>
      <c r="U43" s="9"/>
      <c r="V43" s="9"/>
      <c r="W43" s="9"/>
      <c r="X43" s="9"/>
      <c r="Y43" s="9"/>
      <c r="Z43" s="9"/>
      <c r="AA43" s="37"/>
      <c r="AB43" s="9"/>
      <c r="AC43" s="6"/>
      <c r="AD43" s="6"/>
      <c r="AE43" s="6"/>
      <c r="AF43" s="6"/>
      <c r="AG43" s="6"/>
      <c r="AH43" s="6"/>
      <c r="AI43" s="6"/>
      <c r="AJ43" s="6"/>
    </row>
    <row r="44" spans="1:36" x14ac:dyDescent="0.2">
      <c r="A44" s="29" t="s">
        <v>421</v>
      </c>
      <c r="B44" s="9"/>
      <c r="C44" s="9"/>
      <c r="D44" s="9"/>
      <c r="E44" s="9"/>
      <c r="F44" s="9"/>
      <c r="G44" s="9"/>
      <c r="H44" s="9"/>
      <c r="I44" s="9"/>
      <c r="J44" s="9"/>
      <c r="K44" s="9"/>
      <c r="L44" s="9"/>
      <c r="M44" s="9"/>
      <c r="N44" s="9"/>
      <c r="O44" s="15"/>
      <c r="P44" s="6"/>
      <c r="Q44" s="26"/>
      <c r="R44" s="15"/>
      <c r="S44" s="15"/>
      <c r="T44" s="15"/>
      <c r="U44" s="15"/>
      <c r="V44" s="15"/>
      <c r="W44" s="15"/>
      <c r="X44" s="15"/>
      <c r="Y44" s="15"/>
      <c r="Z44" s="15"/>
      <c r="AA44" s="37"/>
      <c r="AB44" s="9"/>
      <c r="AC44" s="6"/>
      <c r="AD44" s="6"/>
      <c r="AE44" s="6"/>
      <c r="AF44" s="6"/>
      <c r="AG44" s="6"/>
      <c r="AH44" s="6"/>
      <c r="AI44" s="6"/>
      <c r="AJ44" s="6"/>
    </row>
    <row r="45" spans="1:36" x14ac:dyDescent="0.2">
      <c r="A45" s="9" t="s">
        <v>422</v>
      </c>
      <c r="B45" s="9"/>
      <c r="C45" s="9"/>
      <c r="D45" s="9"/>
      <c r="E45" s="9"/>
      <c r="F45" s="9"/>
      <c r="G45" s="9"/>
      <c r="H45" s="9"/>
      <c r="I45" s="9"/>
      <c r="J45" s="9"/>
      <c r="K45" s="9"/>
      <c r="L45" s="9"/>
      <c r="M45" s="9"/>
      <c r="N45" s="9"/>
      <c r="O45" s="15"/>
      <c r="P45" s="15"/>
      <c r="Q45" s="26"/>
      <c r="R45" s="15"/>
      <c r="S45" s="15"/>
      <c r="T45" s="15"/>
      <c r="U45" s="15"/>
      <c r="V45" s="15"/>
      <c r="W45" s="15"/>
      <c r="X45" s="15"/>
      <c r="Y45" s="15"/>
      <c r="Z45" s="15"/>
      <c r="AA45" s="37"/>
      <c r="AB45" s="9"/>
      <c r="AC45" s="6"/>
      <c r="AD45" s="6"/>
      <c r="AE45" s="6"/>
      <c r="AF45" s="6"/>
      <c r="AG45" s="6"/>
      <c r="AH45" s="6"/>
      <c r="AI45" s="6"/>
      <c r="AJ45" s="6"/>
    </row>
    <row r="46" spans="1:36" x14ac:dyDescent="0.2">
      <c r="A46" s="15"/>
      <c r="B46" s="32" t="s">
        <v>197</v>
      </c>
      <c r="C46" s="9"/>
      <c r="D46" s="9"/>
      <c r="E46" s="9"/>
      <c r="F46" s="9"/>
      <c r="G46" s="9"/>
      <c r="H46" s="9"/>
      <c r="I46" s="9"/>
      <c r="J46" s="9"/>
      <c r="K46" s="9"/>
      <c r="L46" s="15"/>
      <c r="M46" s="15"/>
      <c r="N46" s="15"/>
      <c r="O46" s="15"/>
      <c r="P46" s="15"/>
      <c r="Q46" s="26"/>
      <c r="R46" s="15"/>
      <c r="S46" s="15"/>
      <c r="T46" s="15"/>
      <c r="U46" s="15"/>
      <c r="V46" s="15"/>
      <c r="W46" s="15"/>
      <c r="X46" s="15"/>
      <c r="Y46" s="15"/>
      <c r="Z46" s="15"/>
      <c r="AA46" s="37"/>
      <c r="AB46" s="15"/>
      <c r="AC46" s="6"/>
      <c r="AD46" s="6"/>
      <c r="AE46" s="6"/>
      <c r="AF46" s="6"/>
      <c r="AG46" s="6"/>
      <c r="AH46" s="6"/>
      <c r="AI46" s="6"/>
      <c r="AJ46" s="6"/>
    </row>
    <row r="47" spans="1:36" x14ac:dyDescent="0.2">
      <c r="A47" s="33" t="s">
        <v>199</v>
      </c>
      <c r="B47" s="15"/>
      <c r="C47" s="15"/>
      <c r="D47" s="15"/>
      <c r="E47" s="15"/>
      <c r="F47" s="15"/>
      <c r="G47" s="15"/>
      <c r="H47" s="15"/>
      <c r="I47" s="15"/>
      <c r="J47" s="15"/>
      <c r="K47" s="15"/>
      <c r="L47" s="15"/>
      <c r="M47" s="15"/>
      <c r="N47" s="15"/>
      <c r="O47" s="15"/>
      <c r="P47" s="15"/>
      <c r="Q47" s="26"/>
      <c r="R47" s="15"/>
      <c r="S47" s="15"/>
      <c r="T47" s="15"/>
      <c r="U47" s="15"/>
      <c r="V47" s="15"/>
      <c r="W47" s="15"/>
      <c r="X47" s="15"/>
      <c r="Y47" s="15"/>
      <c r="Z47" s="15"/>
      <c r="AA47" s="37"/>
      <c r="AB47" s="15"/>
      <c r="AC47" s="6"/>
      <c r="AD47" s="6"/>
      <c r="AE47" s="6"/>
      <c r="AF47" s="6"/>
      <c r="AG47" s="6"/>
      <c r="AH47" s="6"/>
      <c r="AI47" s="6"/>
      <c r="AJ47" s="6"/>
    </row>
    <row r="48" spans="1:36" x14ac:dyDescent="0.2">
      <c r="A48" s="33" t="s">
        <v>200</v>
      </c>
      <c r="B48" s="15"/>
      <c r="C48" s="15"/>
      <c r="D48" s="15"/>
      <c r="E48" s="15"/>
      <c r="F48" s="15"/>
      <c r="G48" s="15"/>
      <c r="H48" s="15"/>
      <c r="I48" s="15"/>
      <c r="J48" s="15"/>
      <c r="K48" s="15"/>
      <c r="L48" s="15"/>
      <c r="M48" s="15"/>
      <c r="N48" s="15"/>
      <c r="O48" s="15"/>
      <c r="P48" s="15"/>
      <c r="Q48" s="26"/>
      <c r="R48" s="15"/>
      <c r="S48" s="15"/>
      <c r="T48" s="15"/>
      <c r="U48" s="15"/>
      <c r="V48" s="15"/>
      <c r="W48" s="15"/>
      <c r="X48" s="15"/>
      <c r="Y48" s="15"/>
      <c r="Z48" s="15"/>
      <c r="AA48" s="37"/>
      <c r="AB48" s="15"/>
      <c r="AC48" s="6"/>
      <c r="AD48" s="6"/>
      <c r="AE48" s="6"/>
      <c r="AF48" s="6"/>
      <c r="AG48" s="6"/>
      <c r="AH48" s="6"/>
      <c r="AI48" s="6"/>
      <c r="AJ48" s="6"/>
    </row>
    <row r="49" spans="1:36" x14ac:dyDescent="0.2">
      <c r="A49" s="33" t="s">
        <v>201</v>
      </c>
      <c r="B49" s="15"/>
      <c r="C49" s="15"/>
      <c r="D49" s="15"/>
      <c r="E49" s="15"/>
      <c r="F49" s="15"/>
      <c r="G49" s="15"/>
      <c r="H49" s="15"/>
      <c r="I49" s="15"/>
      <c r="J49" s="15"/>
      <c r="K49" s="15"/>
      <c r="L49" s="15"/>
      <c r="M49" s="15"/>
      <c r="N49" s="15"/>
      <c r="O49" s="15"/>
      <c r="P49" s="15"/>
      <c r="Q49" s="26"/>
      <c r="R49" s="15"/>
      <c r="S49" s="15"/>
      <c r="T49" s="15"/>
      <c r="U49" s="15"/>
      <c r="V49" s="15"/>
      <c r="W49" s="15"/>
      <c r="X49" s="15"/>
      <c r="Y49" s="15"/>
      <c r="Z49" s="15"/>
      <c r="AA49" s="37"/>
      <c r="AB49" s="15"/>
      <c r="AC49" s="6"/>
      <c r="AD49" s="6"/>
      <c r="AE49" s="6"/>
      <c r="AF49" s="6"/>
      <c r="AG49" s="6"/>
      <c r="AH49" s="6"/>
      <c r="AI49" s="6"/>
      <c r="AJ49" s="6"/>
    </row>
    <row r="50" spans="1:36" x14ac:dyDescent="0.2">
      <c r="A50" s="33" t="s">
        <v>202</v>
      </c>
      <c r="B50" s="15"/>
      <c r="C50" s="15"/>
      <c r="D50" s="15"/>
      <c r="E50" s="15"/>
      <c r="F50" s="15"/>
      <c r="G50" s="15"/>
      <c r="H50" s="15"/>
      <c r="I50" s="15"/>
      <c r="J50" s="15"/>
      <c r="K50" s="15"/>
      <c r="L50" s="15"/>
      <c r="M50" s="15"/>
      <c r="N50" s="15"/>
      <c r="O50" s="15"/>
      <c r="P50" s="15"/>
      <c r="Q50" s="26"/>
      <c r="R50" s="15"/>
      <c r="S50" s="15"/>
      <c r="T50" s="15"/>
      <c r="U50" s="15"/>
      <c r="V50" s="15"/>
      <c r="W50" s="15"/>
      <c r="X50" s="15"/>
      <c r="Y50" s="15"/>
      <c r="Z50" s="15"/>
      <c r="AA50" s="37"/>
      <c r="AB50" s="15"/>
      <c r="AC50" s="6"/>
      <c r="AD50" s="6"/>
      <c r="AE50" s="6"/>
      <c r="AF50" s="6"/>
      <c r="AG50" s="6"/>
      <c r="AH50" s="6"/>
      <c r="AI50" s="6"/>
      <c r="AJ50" s="6"/>
    </row>
    <row r="51" spans="1:36" x14ac:dyDescent="0.2">
      <c r="A51" s="33" t="s">
        <v>203</v>
      </c>
      <c r="B51" s="15"/>
      <c r="C51" s="15"/>
      <c r="D51" s="15"/>
      <c r="E51" s="15"/>
      <c r="F51" s="15"/>
      <c r="G51" s="15"/>
      <c r="H51" s="15"/>
      <c r="I51" s="15"/>
      <c r="J51" s="15"/>
      <c r="K51" s="15"/>
      <c r="L51" s="15"/>
      <c r="M51" s="15"/>
      <c r="N51" s="15"/>
      <c r="O51" s="9"/>
      <c r="P51" s="15"/>
      <c r="Q51" s="26"/>
      <c r="R51" s="15"/>
      <c r="S51" s="15"/>
      <c r="T51" s="15"/>
      <c r="U51" s="15"/>
      <c r="V51" s="15"/>
      <c r="W51" s="15"/>
      <c r="X51" s="15"/>
      <c r="Y51" s="15"/>
      <c r="Z51" s="15"/>
      <c r="AA51" s="37"/>
      <c r="AB51" s="15"/>
      <c r="AC51" s="6"/>
      <c r="AD51" s="6"/>
      <c r="AE51" s="6"/>
      <c r="AF51" s="6"/>
      <c r="AG51" s="6"/>
      <c r="AH51" s="6"/>
      <c r="AI51" s="6"/>
      <c r="AJ51" s="6"/>
    </row>
    <row r="52" spans="1:36" x14ac:dyDescent="0.2">
      <c r="A52" s="33" t="s">
        <v>204</v>
      </c>
      <c r="B52" s="15"/>
      <c r="C52" s="15"/>
      <c r="D52" s="15"/>
      <c r="E52" s="15"/>
      <c r="F52" s="15"/>
      <c r="G52" s="15"/>
      <c r="H52" s="15"/>
      <c r="I52" s="15"/>
      <c r="J52" s="15"/>
      <c r="K52" s="15"/>
      <c r="L52" s="15"/>
      <c r="M52" s="15"/>
      <c r="N52" s="15"/>
      <c r="O52" s="9"/>
      <c r="P52" s="15"/>
      <c r="Q52" s="26"/>
      <c r="R52" s="15"/>
      <c r="S52" s="15"/>
      <c r="T52" s="15"/>
      <c r="U52" s="15"/>
      <c r="V52" s="15"/>
      <c r="W52" s="15"/>
      <c r="X52" s="15"/>
      <c r="Y52" s="15"/>
      <c r="Z52" s="15"/>
      <c r="AA52" s="37"/>
      <c r="AB52" s="15"/>
      <c r="AC52" s="6"/>
      <c r="AD52" s="6"/>
      <c r="AE52" s="6"/>
      <c r="AF52" s="6"/>
      <c r="AG52" s="6"/>
      <c r="AH52" s="6"/>
      <c r="AI52" s="6"/>
      <c r="AJ52" s="6"/>
    </row>
    <row r="53" spans="1:36" x14ac:dyDescent="0.2">
      <c r="A53" s="34" t="s">
        <v>427</v>
      </c>
      <c r="B53" s="15"/>
      <c r="C53" s="15"/>
      <c r="D53" s="15"/>
      <c r="E53" s="15"/>
      <c r="F53" s="15"/>
      <c r="G53" s="15"/>
      <c r="H53" s="15"/>
      <c r="I53" s="15"/>
      <c r="J53" s="15"/>
      <c r="K53" s="15"/>
      <c r="L53" s="15"/>
      <c r="M53" s="15"/>
      <c r="N53" s="15"/>
      <c r="O53" s="15"/>
      <c r="P53" s="15"/>
      <c r="Q53" s="27"/>
      <c r="R53" s="17"/>
      <c r="S53" s="17"/>
      <c r="T53" s="17"/>
      <c r="U53" s="17"/>
      <c r="V53" s="17"/>
      <c r="W53" s="17"/>
      <c r="X53" s="17"/>
      <c r="Y53" s="17"/>
      <c r="Z53" s="17"/>
      <c r="AA53" s="38"/>
      <c r="AB53" s="15"/>
      <c r="AC53" s="6"/>
      <c r="AD53" s="6"/>
      <c r="AE53" s="6"/>
      <c r="AF53" s="6"/>
      <c r="AG53" s="6"/>
      <c r="AH53" s="6"/>
      <c r="AI53" s="6"/>
      <c r="AJ53" s="6"/>
    </row>
    <row r="54" spans="1:36" x14ac:dyDescent="0.2">
      <c r="A54" s="9" t="s">
        <v>428</v>
      </c>
      <c r="B54" s="15"/>
      <c r="C54" s="15"/>
      <c r="D54" s="15"/>
      <c r="E54" s="15"/>
      <c r="F54" s="9"/>
      <c r="G54" s="9"/>
      <c r="H54" s="9"/>
      <c r="I54" s="9"/>
      <c r="J54" s="9"/>
      <c r="K54" s="9"/>
      <c r="L54" s="9"/>
      <c r="M54" s="9"/>
      <c r="N54" s="9"/>
      <c r="O54" s="9"/>
      <c r="P54" s="15"/>
      <c r="Q54" s="15"/>
      <c r="R54" s="15"/>
      <c r="S54" s="15"/>
      <c r="T54" s="15"/>
      <c r="U54" s="15"/>
      <c r="V54" s="15"/>
      <c r="W54" s="15"/>
      <c r="X54" s="15"/>
      <c r="Y54" s="15"/>
      <c r="Z54" s="15"/>
      <c r="AA54" s="15"/>
      <c r="AB54" s="15"/>
      <c r="AC54" s="6"/>
      <c r="AD54" s="6"/>
      <c r="AE54" s="6"/>
      <c r="AF54" s="6"/>
      <c r="AG54" s="6"/>
      <c r="AH54" s="6"/>
      <c r="AI54" s="6"/>
      <c r="AJ54" s="6"/>
    </row>
    <row r="55" spans="1:36" x14ac:dyDescent="0.2">
      <c r="A55" s="33" t="s">
        <v>666</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6"/>
      <c r="AD55" s="6"/>
      <c r="AE55" s="6"/>
      <c r="AF55" s="6"/>
      <c r="AG55" s="6"/>
      <c r="AH55" s="6"/>
      <c r="AI55" s="6"/>
      <c r="AJ55" s="6"/>
    </row>
    <row r="56" spans="1:36" x14ac:dyDescent="0.2">
      <c r="A56" s="9" t="s">
        <v>423</v>
      </c>
      <c r="B56" s="15"/>
      <c r="C56" s="15"/>
      <c r="D56" s="15"/>
      <c r="E56" s="15"/>
      <c r="F56" s="9"/>
      <c r="G56" s="9"/>
      <c r="H56" s="9"/>
      <c r="I56" s="9"/>
      <c r="J56" s="9"/>
      <c r="K56" s="9"/>
      <c r="L56" s="9"/>
      <c r="M56" s="9"/>
      <c r="N56" s="9"/>
      <c r="O56" s="9"/>
      <c r="P56" s="15"/>
      <c r="Q56" s="15"/>
      <c r="R56" s="15"/>
      <c r="S56" s="15"/>
      <c r="T56" s="15"/>
      <c r="U56" s="15"/>
      <c r="V56" s="15"/>
      <c r="W56" s="15"/>
      <c r="X56" s="15"/>
      <c r="Y56" s="15"/>
      <c r="Z56" s="15"/>
      <c r="AA56" s="15"/>
      <c r="AB56" s="15"/>
      <c r="AC56" s="6"/>
      <c r="AD56" s="6"/>
      <c r="AE56" s="6"/>
      <c r="AF56" s="6"/>
      <c r="AG56" s="6"/>
      <c r="AH56" s="6"/>
      <c r="AI56" s="6"/>
      <c r="AJ56" s="6"/>
    </row>
    <row r="57" spans="1:36" x14ac:dyDescent="0.2">
      <c r="A57" s="33" t="s">
        <v>187</v>
      </c>
      <c r="B57" s="15"/>
      <c r="C57" s="15"/>
      <c r="D57" s="15"/>
      <c r="E57" s="15"/>
      <c r="F57" s="9"/>
      <c r="G57" s="9"/>
      <c r="H57" s="9"/>
      <c r="I57" s="9"/>
      <c r="J57" s="9"/>
      <c r="K57" s="9"/>
      <c r="L57" s="9"/>
      <c r="M57" s="9"/>
      <c r="N57" s="9"/>
      <c r="O57" s="9"/>
      <c r="P57" s="15"/>
      <c r="Q57" s="15"/>
      <c r="R57" s="15"/>
      <c r="S57" s="15"/>
      <c r="T57" s="15"/>
      <c r="U57" s="15"/>
      <c r="V57" s="15"/>
      <c r="W57" s="15"/>
      <c r="X57" s="15"/>
      <c r="Y57" s="15"/>
      <c r="Z57" s="15"/>
      <c r="AA57" s="15"/>
      <c r="AB57" s="15"/>
      <c r="AC57" s="6"/>
      <c r="AD57" s="6"/>
      <c r="AE57" s="6"/>
      <c r="AF57" s="6"/>
      <c r="AG57" s="6"/>
      <c r="AH57" s="6"/>
      <c r="AI57" s="6"/>
      <c r="AJ57" s="6"/>
    </row>
    <row r="58" spans="1:36" x14ac:dyDescent="0.2">
      <c r="A58" s="33" t="s">
        <v>188</v>
      </c>
      <c r="B58" s="15"/>
      <c r="C58" s="15"/>
      <c r="D58" s="15"/>
      <c r="E58" s="15"/>
      <c r="F58" s="9"/>
      <c r="G58" s="9"/>
      <c r="H58" s="9"/>
      <c r="I58" s="9"/>
      <c r="J58" s="9"/>
      <c r="K58" s="15"/>
      <c r="L58" s="9"/>
      <c r="M58" s="9"/>
      <c r="N58" s="9"/>
      <c r="O58" s="9"/>
      <c r="P58" s="15"/>
      <c r="Q58" s="15"/>
      <c r="R58" s="15"/>
      <c r="S58" s="15"/>
      <c r="T58" s="15"/>
      <c r="U58" s="15"/>
      <c r="V58" s="15"/>
      <c r="W58" s="15"/>
      <c r="X58" s="15"/>
      <c r="Y58" s="15"/>
      <c r="Z58" s="15"/>
      <c r="AA58" s="15"/>
      <c r="AB58" s="15"/>
      <c r="AC58" s="6"/>
      <c r="AD58" s="6"/>
      <c r="AE58" s="6"/>
      <c r="AF58" s="6"/>
      <c r="AG58" s="6"/>
      <c r="AH58" s="6"/>
      <c r="AI58" s="6"/>
      <c r="AJ58" s="6"/>
    </row>
    <row r="59" spans="1:36" x14ac:dyDescent="0.2">
      <c r="A59" s="15"/>
      <c r="B59" s="13" t="s">
        <v>586</v>
      </c>
      <c r="C59" s="15"/>
      <c r="D59" s="15"/>
      <c r="E59" s="15"/>
      <c r="F59" s="9"/>
      <c r="G59" s="9"/>
      <c r="H59" s="9"/>
      <c r="I59" s="9"/>
      <c r="J59" s="9"/>
      <c r="K59" s="15"/>
      <c r="L59" s="9"/>
      <c r="M59" s="9"/>
      <c r="N59" s="9"/>
      <c r="O59" s="9"/>
      <c r="P59" s="15"/>
      <c r="Q59" s="15"/>
      <c r="R59" s="15"/>
      <c r="S59" s="15"/>
      <c r="T59" s="15"/>
      <c r="U59" s="15"/>
      <c r="V59" s="15"/>
      <c r="W59" s="15"/>
      <c r="X59" s="15"/>
      <c r="Y59" s="15"/>
      <c r="Z59" s="15"/>
      <c r="AA59" s="15"/>
      <c r="AB59" s="15"/>
      <c r="AC59" s="6"/>
      <c r="AD59" s="6"/>
      <c r="AE59" s="6"/>
      <c r="AF59" s="6"/>
      <c r="AG59" s="6"/>
      <c r="AH59" s="6"/>
      <c r="AI59" s="6"/>
      <c r="AJ59" s="6"/>
    </row>
    <row r="60" spans="1:36" x14ac:dyDescent="0.2">
      <c r="A60" s="9" t="s">
        <v>424</v>
      </c>
      <c r="B60" s="15"/>
      <c r="C60" s="15"/>
      <c r="D60" s="15"/>
      <c r="E60" s="15"/>
      <c r="F60" s="15"/>
      <c r="G60" s="15"/>
      <c r="H60" s="15"/>
      <c r="I60" s="9"/>
      <c r="J60" s="9"/>
      <c r="K60" s="15"/>
      <c r="L60" s="9"/>
      <c r="M60" s="9"/>
      <c r="N60" s="9"/>
      <c r="O60" s="9"/>
      <c r="P60" s="15"/>
      <c r="Q60" s="15"/>
      <c r="R60" s="15"/>
      <c r="S60" s="15"/>
      <c r="T60" s="15"/>
      <c r="U60" s="15"/>
      <c r="V60" s="15"/>
      <c r="W60" s="15"/>
      <c r="X60" s="15"/>
      <c r="Y60" s="15"/>
      <c r="Z60" s="15"/>
      <c r="AA60" s="15"/>
      <c r="AB60" s="15"/>
      <c r="AC60" s="6"/>
      <c r="AD60" s="6"/>
      <c r="AE60" s="6"/>
      <c r="AF60" s="6"/>
      <c r="AG60" s="6"/>
      <c r="AH60" s="6"/>
      <c r="AI60" s="6"/>
      <c r="AJ60" s="6"/>
    </row>
    <row r="61" spans="1:36" x14ac:dyDescent="0.2">
      <c r="A61" s="15"/>
      <c r="B61" s="13" t="s">
        <v>587</v>
      </c>
      <c r="C61" s="15"/>
      <c r="D61" s="15"/>
      <c r="E61" s="15"/>
      <c r="F61" s="15"/>
      <c r="G61" s="15"/>
      <c r="H61" s="15"/>
      <c r="I61" s="9"/>
      <c r="J61" s="9"/>
      <c r="K61" s="15"/>
      <c r="L61" s="9"/>
      <c r="M61" s="9"/>
      <c r="N61" s="9"/>
      <c r="O61" s="9"/>
      <c r="P61" s="15"/>
      <c r="Q61" s="15"/>
      <c r="R61" s="15"/>
      <c r="S61" s="15"/>
      <c r="T61" s="15"/>
      <c r="U61" s="15"/>
      <c r="V61" s="15"/>
      <c r="W61" s="15"/>
      <c r="X61" s="15"/>
      <c r="Y61" s="15"/>
      <c r="Z61" s="15"/>
      <c r="AA61" s="15"/>
      <c r="AB61" s="15"/>
      <c r="AC61" s="6"/>
      <c r="AD61" s="6"/>
      <c r="AE61" s="6"/>
      <c r="AF61" s="6"/>
      <c r="AG61" s="6"/>
      <c r="AH61" s="6"/>
      <c r="AI61" s="6"/>
      <c r="AJ61" s="6"/>
    </row>
    <row r="62" spans="1:36" x14ac:dyDescent="0.2">
      <c r="A62" s="9" t="s">
        <v>425</v>
      </c>
      <c r="B62" s="15"/>
      <c r="C62" s="15"/>
      <c r="D62" s="15"/>
      <c r="E62" s="15"/>
      <c r="F62" s="15"/>
      <c r="G62" s="15"/>
      <c r="H62" s="15"/>
      <c r="I62" s="15"/>
      <c r="J62" s="15"/>
      <c r="K62" s="15"/>
      <c r="L62" s="15"/>
      <c r="M62" s="9"/>
      <c r="N62" s="15"/>
      <c r="O62" s="15"/>
      <c r="P62" s="15"/>
      <c r="Q62" s="15"/>
      <c r="R62" s="15"/>
      <c r="S62" s="15"/>
      <c r="T62" s="6"/>
      <c r="U62" s="6"/>
      <c r="V62" s="6"/>
      <c r="W62" s="6"/>
      <c r="X62" s="1315">
        <f>Datos!K60</f>
        <v>0</v>
      </c>
      <c r="Y62" s="1315"/>
      <c r="Z62" s="1315"/>
      <c r="AA62" s="1315"/>
      <c r="AB62" s="15"/>
      <c r="AC62" s="6"/>
      <c r="AD62" s="6"/>
      <c r="AE62" s="6"/>
      <c r="AF62" s="6"/>
      <c r="AG62" s="6"/>
      <c r="AH62" s="6"/>
      <c r="AI62" s="6"/>
      <c r="AJ62" s="6"/>
    </row>
    <row r="63" spans="1:36" x14ac:dyDescent="0.2">
      <c r="A63" s="9" t="s">
        <v>667</v>
      </c>
      <c r="B63" s="15"/>
      <c r="C63" s="15"/>
      <c r="D63" s="15"/>
      <c r="E63" s="15"/>
      <c r="F63" s="15"/>
      <c r="G63" s="15"/>
      <c r="H63" s="15"/>
      <c r="I63" s="15"/>
      <c r="J63" s="15"/>
      <c r="K63" s="15"/>
      <c r="L63" s="15"/>
      <c r="M63" s="15"/>
      <c r="N63" s="15"/>
      <c r="O63" s="15"/>
      <c r="P63" s="15"/>
      <c r="Q63" s="15"/>
      <c r="R63" s="15"/>
      <c r="S63" s="15"/>
      <c r="T63" s="15"/>
      <c r="U63" s="15"/>
      <c r="V63" s="6"/>
      <c r="W63" s="6"/>
      <c r="X63" s="6"/>
      <c r="Y63" s="6"/>
      <c r="Z63" s="15"/>
      <c r="AA63" s="15"/>
      <c r="AB63" s="15"/>
      <c r="AC63" s="6"/>
      <c r="AD63" s="6"/>
      <c r="AE63" s="6"/>
      <c r="AF63" s="6"/>
      <c r="AG63" s="6"/>
      <c r="AH63" s="6"/>
      <c r="AI63" s="6"/>
      <c r="AJ63" s="6"/>
    </row>
    <row r="64" spans="1:36" x14ac:dyDescent="0.2">
      <c r="A64" s="15"/>
      <c r="B64" s="13" t="s">
        <v>588</v>
      </c>
      <c r="C64" s="15"/>
      <c r="D64" s="15"/>
      <c r="E64" s="15"/>
      <c r="F64" s="15"/>
      <c r="G64" s="15"/>
      <c r="H64" s="15"/>
      <c r="I64" s="15"/>
      <c r="J64" s="9"/>
      <c r="K64" s="15"/>
      <c r="L64" s="15"/>
      <c r="M64" s="15"/>
      <c r="N64" s="15"/>
      <c r="O64" s="15"/>
      <c r="P64" s="15"/>
      <c r="Q64" s="15"/>
      <c r="R64" s="15"/>
      <c r="S64" s="15"/>
      <c r="T64" s="15"/>
      <c r="U64" s="15"/>
      <c r="V64" s="15"/>
      <c r="W64" s="15"/>
      <c r="X64" s="15"/>
      <c r="Y64" s="15"/>
      <c r="Z64" s="15"/>
      <c r="AA64" s="15"/>
      <c r="AB64" s="15"/>
      <c r="AC64" s="6"/>
      <c r="AD64" s="6"/>
      <c r="AE64" s="6"/>
      <c r="AF64" s="6"/>
      <c r="AG64" s="6"/>
      <c r="AH64" s="6"/>
      <c r="AI64" s="6"/>
      <c r="AJ64" s="6"/>
    </row>
    <row r="65" spans="1:36" x14ac:dyDescent="0.2">
      <c r="A65" s="9" t="s">
        <v>426</v>
      </c>
      <c r="B65" s="15"/>
      <c r="C65" s="15"/>
      <c r="E65" s="11"/>
      <c r="F65" s="11"/>
      <c r="G65" s="11"/>
      <c r="H65" s="1315">
        <f>Datos!K59</f>
        <v>0</v>
      </c>
      <c r="I65" s="1315"/>
      <c r="J65" s="1315"/>
      <c r="K65" s="15"/>
      <c r="L65" s="15"/>
      <c r="M65" s="15"/>
      <c r="N65" s="15"/>
      <c r="O65" s="15"/>
      <c r="P65" s="15"/>
      <c r="Q65" s="15"/>
      <c r="R65" s="15"/>
      <c r="S65" s="15"/>
      <c r="T65" s="15"/>
      <c r="U65" s="15"/>
      <c r="V65" s="15"/>
      <c r="W65" s="9"/>
      <c r="X65" s="15"/>
      <c r="Y65" s="15"/>
      <c r="Z65" s="15"/>
      <c r="AA65" s="15"/>
      <c r="AB65" s="15"/>
      <c r="AC65" s="6"/>
      <c r="AD65" s="6"/>
      <c r="AE65" s="6"/>
      <c r="AF65" s="6"/>
      <c r="AG65" s="6"/>
      <c r="AH65" s="6"/>
      <c r="AI65" s="6"/>
      <c r="AJ65" s="6"/>
    </row>
    <row r="66" spans="1:36"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6"/>
      <c r="AD66" s="6"/>
      <c r="AE66" s="6"/>
      <c r="AF66" s="6"/>
      <c r="AG66" s="6"/>
      <c r="AH66" s="6"/>
      <c r="AI66" s="6"/>
      <c r="AJ66" s="6"/>
    </row>
    <row r="67" spans="1:36" x14ac:dyDescent="0.2">
      <c r="A67" s="15"/>
      <c r="B67" s="15"/>
      <c r="C67" s="15"/>
      <c r="D67" s="15"/>
      <c r="E67" s="15"/>
      <c r="F67" s="9"/>
      <c r="G67" s="9"/>
      <c r="H67" s="15"/>
      <c r="I67" s="15"/>
      <c r="J67" s="15"/>
      <c r="K67" s="15"/>
      <c r="L67" s="15"/>
      <c r="M67" s="15"/>
      <c r="N67" s="15"/>
      <c r="O67" s="15"/>
      <c r="P67" s="15"/>
      <c r="Q67" s="15"/>
      <c r="R67" s="15"/>
      <c r="S67" s="15"/>
      <c r="T67" s="15"/>
      <c r="U67" s="15"/>
      <c r="V67" s="15"/>
      <c r="W67" s="15"/>
      <c r="X67" s="15"/>
      <c r="Y67" s="15"/>
      <c r="Z67" s="15"/>
      <c r="AA67" s="15"/>
      <c r="AB67" s="15"/>
      <c r="AC67" s="6"/>
      <c r="AD67" s="6"/>
      <c r="AE67" s="6"/>
      <c r="AF67" s="6"/>
      <c r="AG67" s="6"/>
      <c r="AH67" s="6"/>
      <c r="AI67" s="6"/>
      <c r="AJ67" s="6"/>
    </row>
    <row r="68" spans="1:36" x14ac:dyDescent="0.2">
      <c r="A68" s="6"/>
      <c r="B68" s="6"/>
      <c r="C68" s="6"/>
      <c r="D68" s="6"/>
      <c r="E68" s="6"/>
      <c r="F68" s="6"/>
      <c r="G68" s="6"/>
      <c r="H68" s="6"/>
      <c r="I68" s="6"/>
      <c r="J68" s="6"/>
      <c r="K68" s="6"/>
      <c r="L68" s="6"/>
      <c r="M68" s="6"/>
      <c r="N68" s="6"/>
      <c r="O68" s="15"/>
      <c r="P68" s="6"/>
      <c r="Q68" s="6"/>
      <c r="R68" s="6"/>
      <c r="S68" s="6"/>
      <c r="T68" s="6"/>
      <c r="U68" s="6"/>
      <c r="V68" s="6"/>
      <c r="W68" s="6"/>
      <c r="X68" s="6"/>
      <c r="Y68" s="6"/>
      <c r="Z68" s="6"/>
      <c r="AA68" s="6"/>
      <c r="AB68" s="6"/>
      <c r="AC68" s="6"/>
      <c r="AD68" s="6"/>
      <c r="AE68" s="6"/>
      <c r="AF68" s="6"/>
      <c r="AG68" s="6"/>
      <c r="AH68" s="6"/>
      <c r="AI68" s="6"/>
      <c r="AJ68" s="6"/>
    </row>
    <row r="69" spans="1:36" x14ac:dyDescent="0.2">
      <c r="A69" s="6"/>
      <c r="B69" s="6"/>
      <c r="C69" s="6"/>
      <c r="D69" s="6"/>
      <c r="E69" s="17"/>
      <c r="F69" s="18"/>
      <c r="G69" s="17"/>
      <c r="H69" s="17"/>
      <c r="I69" s="17"/>
      <c r="J69" s="18"/>
      <c r="K69" s="17"/>
      <c r="L69" s="17"/>
      <c r="M69" s="17"/>
      <c r="N69" s="15"/>
      <c r="O69" s="15"/>
      <c r="P69" s="15"/>
      <c r="Q69" s="17"/>
      <c r="R69" s="17"/>
      <c r="S69" s="17"/>
      <c r="T69" s="19"/>
      <c r="U69" s="19"/>
      <c r="V69" s="17"/>
      <c r="W69" s="17"/>
      <c r="X69" s="17"/>
      <c r="Y69" s="17"/>
      <c r="Z69" s="6"/>
      <c r="AA69" s="6"/>
      <c r="AB69" s="6"/>
      <c r="AC69" s="6"/>
      <c r="AD69" s="6"/>
      <c r="AE69" s="6"/>
      <c r="AF69" s="6"/>
      <c r="AG69" s="6"/>
      <c r="AH69" s="6"/>
      <c r="AI69" s="6"/>
      <c r="AJ69" s="6"/>
    </row>
    <row r="70" spans="1:36" x14ac:dyDescent="0.2">
      <c r="A70" s="6"/>
      <c r="B70" s="6"/>
      <c r="C70" s="6"/>
      <c r="D70" s="6"/>
      <c r="E70" s="15"/>
      <c r="F70" s="15"/>
      <c r="G70" s="15"/>
      <c r="H70" s="15"/>
      <c r="I70" s="12" t="s">
        <v>160</v>
      </c>
      <c r="J70" s="9"/>
      <c r="K70" s="15"/>
      <c r="L70" s="15"/>
      <c r="M70" s="15"/>
      <c r="N70" s="15"/>
      <c r="O70" s="15"/>
      <c r="P70" s="15"/>
      <c r="Q70" s="15"/>
      <c r="R70" s="15"/>
      <c r="S70" s="15"/>
      <c r="T70" s="15"/>
      <c r="U70" s="12" t="s">
        <v>161</v>
      </c>
      <c r="V70" s="15"/>
      <c r="W70" s="15"/>
      <c r="X70" s="15"/>
      <c r="Y70" s="15"/>
      <c r="Z70" s="6"/>
      <c r="AA70" s="6"/>
      <c r="AB70" s="6"/>
      <c r="AC70" s="6"/>
      <c r="AD70" s="6"/>
      <c r="AE70" s="6"/>
      <c r="AF70" s="6"/>
      <c r="AG70" s="6"/>
      <c r="AH70" s="6"/>
      <c r="AI70" s="6"/>
      <c r="AJ70" s="6"/>
    </row>
    <row r="71" spans="1:36" x14ac:dyDescent="0.2">
      <c r="A71" s="9"/>
      <c r="B71" s="13"/>
      <c r="C71" s="6"/>
      <c r="D71" s="5"/>
      <c r="E71" s="9">
        <f>Datos!K29</f>
        <v>0</v>
      </c>
      <c r="F71" s="15"/>
      <c r="G71" s="15"/>
      <c r="H71" s="15"/>
      <c r="I71" s="15"/>
      <c r="J71" s="15"/>
      <c r="K71" s="15"/>
      <c r="L71" s="15"/>
      <c r="M71" s="15"/>
      <c r="N71" s="15"/>
      <c r="O71" s="6"/>
      <c r="P71" s="15"/>
      <c r="Q71" s="15"/>
      <c r="R71" s="9">
        <f>Datos!K18</f>
        <v>0</v>
      </c>
      <c r="S71" s="15"/>
      <c r="T71" s="15"/>
      <c r="V71" s="15"/>
      <c r="W71" s="15"/>
      <c r="X71" s="15"/>
      <c r="Y71" s="15"/>
      <c r="Z71" s="6"/>
      <c r="AA71" s="6"/>
      <c r="AB71" s="6"/>
      <c r="AC71" s="6"/>
      <c r="AD71" s="6"/>
      <c r="AE71" s="6"/>
      <c r="AF71" s="6"/>
      <c r="AG71" s="6"/>
      <c r="AH71" s="6"/>
      <c r="AI71" s="6"/>
      <c r="AJ71" s="6"/>
    </row>
    <row r="72" spans="1:36" x14ac:dyDescent="0.2">
      <c r="A72" s="9"/>
      <c r="B72" s="9"/>
      <c r="C72" s="6"/>
      <c r="D72" s="6"/>
      <c r="E72" s="6"/>
      <c r="F72" s="171" t="s">
        <v>317</v>
      </c>
      <c r="I72" s="210">
        <f>Datos!K31</f>
        <v>0</v>
      </c>
      <c r="J72" s="168"/>
      <c r="K72" s="6"/>
      <c r="L72" s="6"/>
      <c r="M72" s="6"/>
      <c r="N72" s="6"/>
      <c r="O72" s="6"/>
      <c r="P72" s="6"/>
      <c r="Q72" s="6"/>
      <c r="R72" s="6"/>
      <c r="S72" s="206" t="s">
        <v>182</v>
      </c>
      <c r="T72" s="211">
        <f>Datos!K25</f>
        <v>0</v>
      </c>
      <c r="U72" s="6"/>
      <c r="V72" s="6"/>
      <c r="W72" s="6"/>
      <c r="X72" s="6"/>
      <c r="Y72" s="6"/>
      <c r="Z72" s="6"/>
      <c r="AA72" s="6"/>
      <c r="AB72" s="6"/>
      <c r="AC72" s="6"/>
      <c r="AD72" s="6"/>
      <c r="AE72" s="6"/>
      <c r="AF72" s="6"/>
      <c r="AG72" s="6"/>
      <c r="AH72" s="6"/>
      <c r="AI72" s="6"/>
      <c r="AJ72" s="6"/>
    </row>
    <row r="73" spans="1:36"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row>
    <row r="74" spans="1:36"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row>
    <row r="75" spans="1:36"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6"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row>
    <row r="77" spans="1:36"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row>
    <row r="78" spans="1:36"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row>
    <row r="79" spans="1:36"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row>
    <row r="80" spans="1:36"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row>
    <row r="81" spans="1:36"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row>
    <row r="82" spans="1:36"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sheetData>
  <sheetProtection password="F696" sheet="1" objects="1" scenarios="1" selectLockedCells="1"/>
  <customSheetViews>
    <customSheetView guid="{3DA56FC4-53DE-48E1-9C8B-99A7C6BEC59A}" showRuler="0">
      <selection activeCell="AB1" sqref="AB1"/>
      <pageMargins left="0.78740157480314965" right="0.59055118110236227" top="0.59055118110236227" bottom="0.98425196850393704" header="0" footer="0"/>
      <pageSetup paperSize="5" scale="96" orientation="portrait" horizontalDpi="300" verticalDpi="0" r:id="rId1"/>
      <headerFooter alignWithMargins="0"/>
    </customSheetView>
    <customSheetView guid="{3055A696-E36D-42C0-8DEA-BCF75BC71F7B}">
      <pageMargins left="0.78740157480314965" right="0.59055118110236227" top="0.59055118110236227" bottom="0.98425196850393704" header="0" footer="0"/>
      <pageSetup paperSize="5" scale="96" orientation="portrait" horizontalDpi="300" verticalDpi="1200" r:id="rId2"/>
      <headerFooter alignWithMargins="0"/>
    </customSheetView>
  </customSheetViews>
  <mergeCells count="41">
    <mergeCell ref="H65:J65"/>
    <mergeCell ref="A33:S33"/>
    <mergeCell ref="E16:O16"/>
    <mergeCell ref="K17:L17"/>
    <mergeCell ref="P17:Q17"/>
    <mergeCell ref="A21:O21"/>
    <mergeCell ref="Y34:Z34"/>
    <mergeCell ref="X62:AA62"/>
    <mergeCell ref="T31:X31"/>
    <mergeCell ref="T34:X34"/>
    <mergeCell ref="A22:D22"/>
    <mergeCell ref="H25:P25"/>
    <mergeCell ref="C31:S31"/>
    <mergeCell ref="A28:J28"/>
    <mergeCell ref="K28:P28"/>
    <mergeCell ref="A12:F12"/>
    <mergeCell ref="X12:Z12"/>
    <mergeCell ref="O14:AB14"/>
    <mergeCell ref="H15:L15"/>
    <mergeCell ref="M15:O15"/>
    <mergeCell ref="P15:Q15"/>
    <mergeCell ref="W15:AB15"/>
    <mergeCell ref="H11:M11"/>
    <mergeCell ref="Q11:V11"/>
    <mergeCell ref="A7:F7"/>
    <mergeCell ref="G7:H7"/>
    <mergeCell ref="M7:Z7"/>
    <mergeCell ref="A8:C8"/>
    <mergeCell ref="K8:T8"/>
    <mergeCell ref="V8:W8"/>
    <mergeCell ref="A9:G9"/>
    <mergeCell ref="K9:Q9"/>
    <mergeCell ref="A10:J10"/>
    <mergeCell ref="N10:P10"/>
    <mergeCell ref="X10:AB10"/>
    <mergeCell ref="H1:T1"/>
    <mergeCell ref="H2:T2"/>
    <mergeCell ref="H3:T3"/>
    <mergeCell ref="J5:R5"/>
    <mergeCell ref="M6:R6"/>
    <mergeCell ref="S6:T6"/>
  </mergeCells>
  <phoneticPr fontId="20" type="noConversion"/>
  <pageMargins left="0.78740157480314965" right="0.59055118110236227" top="0.59055118110236227" bottom="0.98425196850393704" header="0" footer="0"/>
  <pageSetup paperSize="5" scale="96" orientation="portrait" horizontalDpi="300" verticalDpi="1200"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2">
    <tabColor rgb="FFFFFF00"/>
  </sheetPr>
  <dimension ref="A1:CL125"/>
  <sheetViews>
    <sheetView zoomScale="95" workbookViewId="0">
      <selection activeCell="J34" sqref="J34:K34"/>
    </sheetView>
  </sheetViews>
  <sheetFormatPr baseColWidth="10" defaultRowHeight="12.75" x14ac:dyDescent="0.2"/>
  <cols>
    <col min="1" max="1" width="2.5703125" customWidth="1"/>
    <col min="2" max="2" width="4" customWidth="1"/>
    <col min="3" max="3" width="5.42578125" customWidth="1"/>
    <col min="4" max="4" width="6.42578125" customWidth="1"/>
    <col min="5" max="5" width="6.28515625" customWidth="1"/>
    <col min="6" max="6" width="6.5703125" customWidth="1"/>
    <col min="7" max="7" width="6" customWidth="1"/>
    <col min="8" max="8" width="6.5703125" customWidth="1"/>
    <col min="9" max="9" width="6.140625" customWidth="1"/>
    <col min="10" max="10" width="6.7109375" customWidth="1"/>
    <col min="11" max="11" width="6.5703125" customWidth="1"/>
    <col min="12" max="12" width="5.28515625" customWidth="1"/>
    <col min="13" max="14" width="7.42578125" customWidth="1"/>
    <col min="15" max="15" width="13.5703125" customWidth="1"/>
    <col min="16" max="16" width="2.85546875" customWidth="1"/>
  </cols>
  <sheetData>
    <row r="1" spans="1:90" x14ac:dyDescent="0.2">
      <c r="A1" s="6"/>
      <c r="B1" s="6"/>
      <c r="C1" s="6"/>
      <c r="D1" s="6"/>
      <c r="E1" s="6"/>
      <c r="F1" s="6"/>
      <c r="G1" s="6"/>
      <c r="H1" s="6"/>
      <c r="I1" s="6"/>
      <c r="J1" s="6"/>
      <c r="K1" s="6"/>
      <c r="L1" s="6"/>
      <c r="M1" s="6"/>
      <c r="N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row>
    <row r="2" spans="1:90"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row>
    <row r="3" spans="1:90" ht="23.25" customHeight="1" x14ac:dyDescent="0.25">
      <c r="A3" s="6"/>
      <c r="B3" s="6"/>
      <c r="C3" s="144"/>
      <c r="D3" s="1338"/>
      <c r="E3" s="1338"/>
      <c r="F3" s="1338"/>
      <c r="G3" s="1338"/>
      <c r="H3" s="1338"/>
      <c r="I3" s="1338"/>
      <c r="J3" s="1338"/>
      <c r="K3" s="1338"/>
      <c r="L3" s="1338"/>
      <c r="M3" s="1338"/>
      <c r="N3" s="1338"/>
      <c r="O3" s="1338"/>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90"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row>
    <row r="5" spans="1:90" ht="13.5" thickBo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row>
    <row r="6" spans="1:90" ht="14.25" x14ac:dyDescent="0.2">
      <c r="A6" s="6"/>
      <c r="B6" s="143" t="s">
        <v>633</v>
      </c>
      <c r="C6" s="143"/>
      <c r="D6" s="143"/>
      <c r="E6" s="143"/>
      <c r="F6" s="143"/>
      <c r="G6" s="143"/>
      <c r="H6" s="143"/>
      <c r="I6" s="143"/>
      <c r="J6" s="143"/>
      <c r="K6" s="143"/>
      <c r="L6" s="143"/>
      <c r="M6" s="143"/>
      <c r="N6" s="143"/>
      <c r="O6" s="143"/>
      <c r="P6" s="143"/>
      <c r="Q6" s="696" t="s">
        <v>383</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row>
    <row r="7" spans="1:90" ht="15" thickBot="1" x14ac:dyDescent="0.25">
      <c r="A7" s="6"/>
      <c r="B7" s="143"/>
      <c r="C7" s="143"/>
      <c r="D7" s="143"/>
      <c r="E7" s="1336">
        <f>Datos!K29</f>
        <v>0</v>
      </c>
      <c r="F7" s="1336"/>
      <c r="G7" s="1336"/>
      <c r="H7" s="1336"/>
      <c r="I7" s="1336"/>
      <c r="J7" s="1336"/>
      <c r="K7" s="1336"/>
      <c r="L7" s="1336"/>
      <c r="M7" s="1336"/>
      <c r="N7" s="143" t="s">
        <v>705</v>
      </c>
      <c r="O7" s="145"/>
      <c r="P7" s="143"/>
      <c r="Q7" s="697">
        <f ca="1">TODAY()</f>
        <v>45378</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row>
    <row r="8" spans="1:90" ht="14.25" x14ac:dyDescent="0.2">
      <c r="A8" s="6"/>
      <c r="B8" s="143" t="s">
        <v>634</v>
      </c>
      <c r="C8" s="143"/>
      <c r="D8" s="143"/>
      <c r="E8" s="143"/>
      <c r="F8" s="143"/>
      <c r="G8" s="143"/>
      <c r="H8" s="143"/>
      <c r="I8" s="143"/>
      <c r="J8" s="143"/>
      <c r="K8" s="143"/>
      <c r="L8" s="143"/>
      <c r="M8" s="143"/>
      <c r="N8" s="143"/>
      <c r="O8" s="143"/>
      <c r="P8" s="143"/>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row>
    <row r="9" spans="1:90" ht="14.25" x14ac:dyDescent="0.2">
      <c r="A9" s="6"/>
      <c r="B9" s="143"/>
      <c r="C9" s="143" t="s">
        <v>318</v>
      </c>
      <c r="D9" s="1334">
        <f>Datos!K45</f>
        <v>0</v>
      </c>
      <c r="E9" s="1334"/>
      <c r="F9" s="1334"/>
      <c r="G9" s="169" t="s">
        <v>635</v>
      </c>
      <c r="H9" s="1329">
        <f>Datos!K46</f>
        <v>0</v>
      </c>
      <c r="I9" s="1329"/>
      <c r="J9" s="1343" t="s">
        <v>319</v>
      </c>
      <c r="K9" s="1343"/>
      <c r="L9" s="1334">
        <f>Datos!K47</f>
        <v>0</v>
      </c>
      <c r="M9" s="1334"/>
      <c r="N9" s="1334"/>
      <c r="O9" s="1334"/>
      <c r="P9" s="14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row>
    <row r="10" spans="1:90" ht="14.25" x14ac:dyDescent="0.2">
      <c r="A10" s="6"/>
      <c r="B10" s="143"/>
      <c r="C10" s="143" t="s">
        <v>321</v>
      </c>
      <c r="D10" s="203">
        <f>Datos!K49</f>
        <v>0</v>
      </c>
      <c r="E10" s="143" t="s">
        <v>636</v>
      </c>
      <c r="F10" s="203">
        <f>Datos!K50</f>
        <v>0</v>
      </c>
      <c r="G10" s="143" t="s">
        <v>637</v>
      </c>
      <c r="H10" s="203">
        <f>Datos!K51</f>
        <v>0</v>
      </c>
      <c r="I10" s="143" t="s">
        <v>322</v>
      </c>
      <c r="J10" s="203">
        <f>Datos!K52</f>
        <v>0</v>
      </c>
      <c r="K10" s="169" t="s">
        <v>480</v>
      </c>
      <c r="L10" s="203">
        <f>Datos!K53</f>
        <v>0</v>
      </c>
      <c r="M10" s="143" t="s">
        <v>320</v>
      </c>
      <c r="N10" s="1334">
        <f>Datos!K48</f>
        <v>0</v>
      </c>
      <c r="O10" s="1334"/>
      <c r="P10" s="14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row>
    <row r="11" spans="1:90" ht="14.25" x14ac:dyDescent="0.2">
      <c r="A11" s="6"/>
      <c r="B11" s="143"/>
      <c r="C11" s="143"/>
      <c r="D11" s="143"/>
      <c r="E11" s="143"/>
      <c r="F11" s="143"/>
      <c r="G11" s="143"/>
      <c r="H11" s="143"/>
      <c r="I11" s="143"/>
      <c r="J11" s="143"/>
      <c r="K11" s="143"/>
      <c r="L11" s="143"/>
      <c r="M11" s="143"/>
      <c r="N11" s="143"/>
      <c r="O11" s="143"/>
      <c r="P11" s="143"/>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row>
    <row r="12" spans="1:90" ht="14.25" x14ac:dyDescent="0.2">
      <c r="A12" s="6"/>
      <c r="B12" s="143" t="s">
        <v>702</v>
      </c>
      <c r="C12" s="6"/>
      <c r="D12" s="143"/>
      <c r="E12" s="143"/>
      <c r="F12" s="143"/>
      <c r="G12" s="143"/>
      <c r="H12" s="143"/>
      <c r="I12" s="143"/>
      <c r="J12" s="143"/>
      <c r="K12" s="143"/>
      <c r="L12" s="143"/>
      <c r="M12" s="143"/>
      <c r="N12" s="143"/>
      <c r="O12" s="143"/>
      <c r="P12" s="143"/>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row>
    <row r="13" spans="1:90" ht="14.25" x14ac:dyDescent="0.2">
      <c r="A13" s="6"/>
      <c r="B13" s="143"/>
      <c r="C13" s="143"/>
      <c r="D13" s="143"/>
      <c r="E13" s="143"/>
      <c r="F13" s="143"/>
      <c r="G13" s="143"/>
      <c r="H13" s="143"/>
      <c r="I13" s="143"/>
      <c r="J13" s="143"/>
      <c r="K13" s="143"/>
      <c r="L13" s="143"/>
      <c r="M13" s="143"/>
      <c r="N13" s="143"/>
      <c r="O13" s="143"/>
      <c r="P13" s="143"/>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row>
    <row r="14" spans="1:90" ht="14.25" x14ac:dyDescent="0.2">
      <c r="A14" s="6"/>
      <c r="B14" s="143" t="s">
        <v>703</v>
      </c>
      <c r="C14" s="6"/>
      <c r="D14" s="143"/>
      <c r="E14" s="143"/>
      <c r="F14" s="143"/>
      <c r="G14" s="143"/>
      <c r="H14" s="1339"/>
      <c r="I14" s="1340"/>
      <c r="J14" s="1340"/>
      <c r="K14" s="1340"/>
      <c r="L14" s="1340"/>
      <c r="M14" s="1340"/>
      <c r="N14" s="143" t="s">
        <v>663</v>
      </c>
      <c r="O14" s="143"/>
      <c r="P14" s="143"/>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row>
    <row r="15" spans="1:90" ht="14.25" x14ac:dyDescent="0.2">
      <c r="A15" s="1339"/>
      <c r="B15" s="1340"/>
      <c r="C15" s="1340"/>
      <c r="D15" s="1340"/>
      <c r="E15" s="146" t="s">
        <v>635</v>
      </c>
      <c r="F15" s="698"/>
      <c r="G15" s="1344" t="s">
        <v>154</v>
      </c>
      <c r="H15" s="1344"/>
      <c r="I15" s="1344"/>
      <c r="J15" s="1339"/>
      <c r="K15" s="1340"/>
      <c r="L15" s="1340"/>
      <c r="M15" s="1340"/>
      <c r="N15" s="147" t="s">
        <v>664</v>
      </c>
      <c r="O15" s="1341"/>
      <c r="P15" s="1342"/>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row>
    <row r="16" spans="1:90" ht="14.25" x14ac:dyDescent="0.2">
      <c r="A16" s="143" t="s">
        <v>704</v>
      </c>
      <c r="B16" s="6"/>
      <c r="C16" s="143"/>
      <c r="D16" s="143"/>
      <c r="E16" s="143"/>
      <c r="F16" s="143"/>
      <c r="G16" s="143"/>
      <c r="H16" s="147"/>
      <c r="I16" s="147"/>
      <c r="J16" s="1335"/>
      <c r="K16" s="1335"/>
      <c r="L16" s="143" t="s">
        <v>665</v>
      </c>
      <c r="M16" s="143"/>
      <c r="N16" s="143"/>
      <c r="O16" s="143"/>
      <c r="P16" s="143"/>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row>
    <row r="17" spans="1:90" ht="14.25" x14ac:dyDescent="0.2">
      <c r="A17" s="143" t="s">
        <v>658</v>
      </c>
      <c r="B17" s="6"/>
      <c r="C17" s="143"/>
      <c r="D17" s="143"/>
      <c r="E17" s="143"/>
      <c r="F17" s="143"/>
      <c r="G17" s="143"/>
      <c r="H17" s="143"/>
      <c r="I17" s="143"/>
      <c r="J17" s="143"/>
      <c r="K17" s="143"/>
      <c r="L17" s="143"/>
      <c r="M17" s="143"/>
      <c r="N17" s="143"/>
      <c r="O17" s="143"/>
      <c r="P17" s="143"/>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row>
    <row r="18" spans="1:90" ht="14.25" x14ac:dyDescent="0.2">
      <c r="A18" s="6"/>
      <c r="B18" s="143"/>
      <c r="C18" s="143"/>
      <c r="D18" s="143"/>
      <c r="E18" s="143"/>
      <c r="F18" s="143"/>
      <c r="G18" s="143"/>
      <c r="H18" s="143"/>
      <c r="I18" s="143"/>
      <c r="J18" s="143"/>
      <c r="K18" s="143"/>
      <c r="L18" s="143"/>
      <c r="M18" s="143"/>
      <c r="N18" s="143"/>
      <c r="O18" s="143"/>
      <c r="P18" s="143"/>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row>
    <row r="19" spans="1:90" ht="14.25" x14ac:dyDescent="0.2">
      <c r="A19" s="6"/>
      <c r="B19" s="39" t="s">
        <v>643</v>
      </c>
      <c r="C19" s="143"/>
      <c r="D19" s="143"/>
      <c r="E19" s="143"/>
      <c r="F19" s="143"/>
      <c r="G19" s="143"/>
      <c r="H19" s="143"/>
      <c r="I19" s="41" t="s">
        <v>655</v>
      </c>
      <c r="J19" s="134">
        <f>Anexa!G13</f>
        <v>25</v>
      </c>
      <c r="K19" s="143"/>
      <c r="L19" s="143"/>
      <c r="M19" s="148" t="s">
        <v>656</v>
      </c>
      <c r="N19" s="149">
        <f>Datos!C15</f>
        <v>500000</v>
      </c>
      <c r="O19" s="143"/>
      <c r="P19" s="143"/>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row>
    <row r="20" spans="1:90" ht="14.25" x14ac:dyDescent="0.2">
      <c r="A20" s="6"/>
      <c r="B20" s="6"/>
      <c r="C20" s="45" t="s">
        <v>654</v>
      </c>
      <c r="D20" s="1337" t="s">
        <v>214</v>
      </c>
      <c r="E20" s="1337"/>
      <c r="F20" s="1331">
        <f>Anexa!C14</f>
        <v>0</v>
      </c>
      <c r="G20" s="1331"/>
      <c r="H20" s="42" t="s">
        <v>706</v>
      </c>
      <c r="I20" s="41"/>
      <c r="J20" s="1333">
        <f>Anexa!E14</f>
        <v>0</v>
      </c>
      <c r="K20" s="1333"/>
      <c r="L20" s="42" t="s">
        <v>707</v>
      </c>
      <c r="M20" s="1330">
        <f>Anexa!G14</f>
        <v>0</v>
      </c>
      <c r="N20" s="1330"/>
      <c r="O20" s="143"/>
      <c r="P20" s="143"/>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row>
    <row r="21" spans="1:90" ht="14.25" x14ac:dyDescent="0.2">
      <c r="A21" s="6"/>
      <c r="B21" s="6"/>
      <c r="C21" s="45" t="s">
        <v>654</v>
      </c>
      <c r="D21" s="1337" t="s">
        <v>214</v>
      </c>
      <c r="E21" s="1337"/>
      <c r="F21" s="1331">
        <f>Anexa!C15</f>
        <v>0</v>
      </c>
      <c r="G21" s="1331"/>
      <c r="H21" s="42" t="s">
        <v>706</v>
      </c>
      <c r="I21" s="41"/>
      <c r="J21" s="1333">
        <f>Anexa!E15</f>
        <v>0</v>
      </c>
      <c r="K21" s="1333"/>
      <c r="L21" s="42" t="s">
        <v>707</v>
      </c>
      <c r="M21" s="1330">
        <f>Anexa!G15</f>
        <v>0</v>
      </c>
      <c r="N21" s="1330"/>
      <c r="O21" s="143"/>
      <c r="P21" s="143"/>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row>
    <row r="22" spans="1:90" ht="14.25" x14ac:dyDescent="0.2">
      <c r="A22" s="6"/>
      <c r="B22" s="6"/>
      <c r="C22" s="45" t="s">
        <v>654</v>
      </c>
      <c r="D22" s="1337" t="s">
        <v>214</v>
      </c>
      <c r="E22" s="1337"/>
      <c r="F22" s="1331">
        <f>Anexa!C16</f>
        <v>0</v>
      </c>
      <c r="G22" s="1331"/>
      <c r="H22" s="42" t="s">
        <v>706</v>
      </c>
      <c r="I22" s="41"/>
      <c r="J22" s="1333">
        <f>Anexa!E16</f>
        <v>0</v>
      </c>
      <c r="K22" s="1333"/>
      <c r="L22" s="42" t="s">
        <v>707</v>
      </c>
      <c r="M22" s="1330">
        <f>Anexa!G16</f>
        <v>0</v>
      </c>
      <c r="N22" s="1330"/>
      <c r="O22" s="143"/>
      <c r="P22" s="143"/>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row>
    <row r="23" spans="1:90" ht="14.25" x14ac:dyDescent="0.2">
      <c r="A23" s="6"/>
      <c r="B23" s="6"/>
      <c r="C23" s="45" t="s">
        <v>654</v>
      </c>
      <c r="D23" s="1337" t="s">
        <v>214</v>
      </c>
      <c r="E23" s="1337"/>
      <c r="F23" s="1331">
        <f>Anexa!C17</f>
        <v>0</v>
      </c>
      <c r="G23" s="1331"/>
      <c r="H23" s="42" t="s">
        <v>706</v>
      </c>
      <c r="I23" s="41"/>
      <c r="J23" s="1333">
        <f>Anexa!E17</f>
        <v>0</v>
      </c>
      <c r="K23" s="1333"/>
      <c r="L23" s="42" t="s">
        <v>707</v>
      </c>
      <c r="M23" s="1330">
        <f>Anexa!G17</f>
        <v>0</v>
      </c>
      <c r="N23" s="1330"/>
      <c r="O23" s="143"/>
      <c r="P23" s="143"/>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row>
    <row r="24" spans="1:90" ht="14.25" x14ac:dyDescent="0.2">
      <c r="A24" s="6"/>
      <c r="B24" s="6"/>
      <c r="C24" s="41" t="s">
        <v>501</v>
      </c>
      <c r="E24" s="775" t="str">
        <f>IF(Datos!D71="no","NO",100%-'Acta Est. Obra'!F48)</f>
        <v>NO</v>
      </c>
      <c r="F24" s="1331">
        <f>Anexa!C18</f>
        <v>0</v>
      </c>
      <c r="G24" s="1331"/>
      <c r="H24" s="1332" t="str">
        <f>Anexa!D18</f>
        <v xml:space="preserve"> m² a razón calc.</v>
      </c>
      <c r="I24" s="1332"/>
      <c r="J24" s="1333">
        <f>Anexa!E18</f>
        <v>0</v>
      </c>
      <c r="K24" s="1333"/>
      <c r="L24" s="42" t="s">
        <v>707</v>
      </c>
      <c r="M24" s="1330">
        <f>Anexa!G18</f>
        <v>0</v>
      </c>
      <c r="N24" s="1330"/>
      <c r="O24" s="143"/>
      <c r="P24" s="143"/>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row>
    <row r="25" spans="1:90" ht="14.25" x14ac:dyDescent="0.2">
      <c r="A25" s="6"/>
      <c r="B25" s="6"/>
      <c r="C25" s="45" t="s">
        <v>654</v>
      </c>
      <c r="D25" s="40"/>
      <c r="E25" s="143"/>
      <c r="F25" s="204"/>
      <c r="G25" s="205"/>
      <c r="H25" s="1360" t="s">
        <v>644</v>
      </c>
      <c r="I25" s="1360"/>
      <c r="J25" s="1360"/>
      <c r="K25" s="1360"/>
      <c r="L25" s="1360"/>
      <c r="M25" s="1330">
        <f>Anexa!G19</f>
        <v>0</v>
      </c>
      <c r="N25" s="1330"/>
      <c r="O25" s="143"/>
      <c r="P25" s="143"/>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row>
    <row r="26" spans="1:90" ht="14.25" x14ac:dyDescent="0.2">
      <c r="A26" s="1373" t="s">
        <v>87</v>
      </c>
      <c r="B26" s="1373"/>
      <c r="C26" s="1380" t="str">
        <f>IF(E26=30%,"Estado Bueno",IF(E26=45%,"Estado Regular","Estado peligroso"))</f>
        <v>Estado Bueno</v>
      </c>
      <c r="D26" s="1380"/>
      <c r="E26" s="775">
        <f>Datos!E101</f>
        <v>0.3</v>
      </c>
      <c r="F26" s="1331">
        <f>Anexa!A46</f>
        <v>0</v>
      </c>
      <c r="G26" s="1331"/>
      <c r="H26" s="42" t="s">
        <v>706</v>
      </c>
      <c r="I26" s="143"/>
      <c r="J26" s="1374">
        <f>Anexa!C46</f>
        <v>0</v>
      </c>
      <c r="K26" s="1374"/>
      <c r="L26" s="42" t="s">
        <v>707</v>
      </c>
      <c r="M26" s="1364">
        <f>E26*F26*J26</f>
        <v>0</v>
      </c>
      <c r="N26" s="1364"/>
      <c r="O26" s="143"/>
      <c r="P26" s="143"/>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row>
    <row r="27" spans="1:90" ht="14.25" x14ac:dyDescent="0.2">
      <c r="A27" s="6"/>
      <c r="B27" s="143"/>
      <c r="C27" s="143"/>
      <c r="D27" s="143"/>
      <c r="E27" s="143"/>
      <c r="F27" s="143"/>
      <c r="G27" s="143"/>
      <c r="H27" s="143"/>
      <c r="I27" s="143"/>
      <c r="J27" s="143"/>
      <c r="K27" s="143"/>
      <c r="L27" s="39" t="s">
        <v>71</v>
      </c>
      <c r="M27" s="1330">
        <f>SUM(M20:M26)</f>
        <v>0</v>
      </c>
      <c r="N27" s="1330"/>
      <c r="O27" s="143"/>
      <c r="P27" s="143"/>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row>
    <row r="28" spans="1:90" ht="14.25" x14ac:dyDescent="0.2">
      <c r="A28" s="6"/>
      <c r="B28" s="39" t="s">
        <v>640</v>
      </c>
      <c r="C28" s="143"/>
      <c r="D28" s="143"/>
      <c r="E28" s="143"/>
      <c r="F28" s="143"/>
      <c r="G28" s="143"/>
      <c r="H28" s="143"/>
      <c r="I28" s="143"/>
      <c r="J28" s="143"/>
      <c r="K28" s="143"/>
      <c r="L28" s="143"/>
      <c r="M28" s="143"/>
      <c r="N28" s="143"/>
      <c r="O28" s="143"/>
      <c r="P28" s="143"/>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row>
    <row r="29" spans="1:90" x14ac:dyDescent="0.2">
      <c r="A29" s="6"/>
      <c r="B29" s="40" t="s">
        <v>25</v>
      </c>
      <c r="C29" s="1367">
        <f>Datos!AE106</f>
        <v>0</v>
      </c>
      <c r="D29" s="1367"/>
      <c r="E29" s="141"/>
      <c r="F29" s="40" t="s">
        <v>74</v>
      </c>
      <c r="G29" s="141"/>
      <c r="H29" s="6"/>
      <c r="I29" s="6"/>
      <c r="J29" s="1368">
        <f>Datos!AF106</f>
        <v>0</v>
      </c>
      <c r="K29" s="1368"/>
      <c r="L29" s="136"/>
      <c r="M29" s="136"/>
      <c r="N29" s="136"/>
      <c r="O29" s="136"/>
      <c r="P29" s="135"/>
      <c r="Q29" s="137"/>
      <c r="R29" s="135"/>
      <c r="S29" s="135"/>
      <c r="T29" s="135"/>
      <c r="U29" s="135"/>
      <c r="V29" s="135"/>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row>
    <row r="30" spans="1:90" x14ac:dyDescent="0.2">
      <c r="A30" s="6"/>
      <c r="B30" s="41" t="s">
        <v>75</v>
      </c>
      <c r="C30" s="6"/>
      <c r="D30" s="142">
        <f>Datos!AH106</f>
        <v>1.7000000000000001E-2</v>
      </c>
      <c r="E30" s="142"/>
      <c r="F30" s="40" t="s">
        <v>76</v>
      </c>
      <c r="G30" s="142"/>
      <c r="H30" s="1378">
        <f>Datos!AG106</f>
        <v>0</v>
      </c>
      <c r="I30" s="1378"/>
      <c r="J30" s="1379">
        <f>ROUNDUP(Datos!AI106,2)</f>
        <v>0</v>
      </c>
      <c r="K30" s="1379"/>
      <c r="L30" s="138"/>
      <c r="M30" s="138"/>
      <c r="N30" s="138"/>
      <c r="O30" s="138"/>
      <c r="P30" s="135"/>
      <c r="Q30" s="139"/>
      <c r="R30" s="140"/>
      <c r="S30" s="140"/>
      <c r="T30" s="140"/>
      <c r="U30" s="140"/>
      <c r="V30" s="140"/>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row>
    <row r="31" spans="1:90" ht="14.25" x14ac:dyDescent="0.2">
      <c r="A31" s="6"/>
      <c r="B31" s="143"/>
      <c r="C31" s="143"/>
      <c r="D31" s="143"/>
      <c r="E31" s="143"/>
      <c r="F31" s="143"/>
      <c r="G31" s="150" t="s">
        <v>339</v>
      </c>
      <c r="H31" s="143"/>
      <c r="I31" s="143"/>
      <c r="J31" s="1368">
        <f>SUM(J29:K30)</f>
        <v>0</v>
      </c>
      <c r="K31" s="1368"/>
      <c r="L31" s="143"/>
      <c r="M31" s="143"/>
      <c r="N31" s="143"/>
      <c r="O31" s="143"/>
      <c r="P31" s="143"/>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row>
    <row r="32" spans="1:90" ht="14.25" x14ac:dyDescent="0.2">
      <c r="A32" s="6"/>
      <c r="B32" s="6"/>
      <c r="C32" s="143"/>
      <c r="D32" s="143"/>
      <c r="E32" s="151" t="str">
        <f>IF(J34&lt;J31,"EL HONORARIO CONVENIDO DEBE SER IGUAL O MAYOR QUE EL HONORARIO TOTAL","")</f>
        <v/>
      </c>
      <c r="F32" s="146"/>
      <c r="G32" s="6"/>
      <c r="H32" s="143"/>
      <c r="I32" s="143"/>
      <c r="J32" s="143"/>
      <c r="K32" s="143"/>
      <c r="L32" s="143"/>
      <c r="M32" s="143"/>
      <c r="N32" s="143"/>
      <c r="O32" s="143"/>
      <c r="P32" s="14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row>
    <row r="33" spans="1:90" ht="14.25" x14ac:dyDescent="0.2">
      <c r="A33" s="6"/>
      <c r="B33" s="143"/>
      <c r="C33" s="143"/>
      <c r="D33" s="143"/>
      <c r="E33" s="151" t="str">
        <f>IF(J34&lt;Datos!S13,"NO CUMPLE EL MÍNIMO POR CUALQUIER TAREA PROFESIONAL ","")</f>
        <v/>
      </c>
      <c r="F33" s="6"/>
      <c r="G33" s="6"/>
      <c r="H33" s="6"/>
      <c r="I33" s="6"/>
      <c r="J33" s="6"/>
      <c r="K33" s="6"/>
      <c r="L33" s="143"/>
      <c r="M33" s="143"/>
      <c r="N33" s="143"/>
      <c r="O33" s="143"/>
      <c r="P33" s="143"/>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row>
    <row r="34" spans="1:90" ht="14.25" x14ac:dyDescent="0.2">
      <c r="A34" s="6"/>
      <c r="B34" s="143"/>
      <c r="C34" s="143"/>
      <c r="D34" s="143"/>
      <c r="E34" s="143"/>
      <c r="F34" s="170" t="s">
        <v>337</v>
      </c>
      <c r="G34" s="60"/>
      <c r="H34" s="152"/>
      <c r="I34" s="152"/>
      <c r="J34" s="1365" t="s">
        <v>766</v>
      </c>
      <c r="K34" s="1366"/>
      <c r="L34" s="143"/>
      <c r="M34" s="143"/>
      <c r="N34" s="143"/>
      <c r="O34" s="143"/>
      <c r="P34" s="14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row>
    <row r="35" spans="1:90" ht="14.25" x14ac:dyDescent="0.2">
      <c r="A35" s="1362" t="s">
        <v>641</v>
      </c>
      <c r="B35" s="1362"/>
      <c r="C35" s="1362"/>
      <c r="D35" s="1362"/>
      <c r="E35" s="1362"/>
      <c r="F35" s="1362"/>
      <c r="G35" s="1362"/>
      <c r="H35" s="1361" t="e">
        <f>Importe!F41</f>
        <v>#VALUE!</v>
      </c>
      <c r="I35" s="1361"/>
      <c r="J35" s="1361"/>
      <c r="K35" s="1361"/>
      <c r="L35" s="1361"/>
      <c r="M35" s="1361"/>
      <c r="N35" s="1361"/>
      <c r="O35" s="1361"/>
      <c r="P35" s="143"/>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row>
    <row r="36" spans="1:90" ht="14.25" x14ac:dyDescent="0.2">
      <c r="A36" s="6"/>
      <c r="B36" s="143"/>
      <c r="C36" s="143"/>
      <c r="D36" s="143"/>
      <c r="E36" s="143"/>
      <c r="F36" s="143"/>
      <c r="G36" s="143"/>
      <c r="H36" s="143"/>
      <c r="I36" s="143"/>
      <c r="J36" s="143"/>
      <c r="K36" s="143"/>
      <c r="L36" s="143"/>
      <c r="M36" s="143"/>
      <c r="N36" s="143"/>
      <c r="O36" s="143"/>
      <c r="P36" s="143"/>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row>
    <row r="37" spans="1:90" ht="14.25" x14ac:dyDescent="0.2">
      <c r="A37" s="6"/>
      <c r="B37" s="143"/>
      <c r="C37" s="143"/>
      <c r="D37" s="143"/>
      <c r="E37" s="143"/>
      <c r="F37" s="143"/>
      <c r="G37" s="143"/>
      <c r="H37" s="143"/>
      <c r="I37" s="143"/>
      <c r="J37" s="143"/>
      <c r="K37" s="143"/>
      <c r="L37" s="143"/>
      <c r="M37" s="143"/>
      <c r="N37" s="143"/>
      <c r="O37" s="143"/>
      <c r="P37" s="143"/>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row>
    <row r="38" spans="1:90" ht="14.25" x14ac:dyDescent="0.2">
      <c r="A38" s="6"/>
      <c r="B38" s="143"/>
      <c r="C38" s="143"/>
      <c r="D38" s="143"/>
      <c r="E38" s="143"/>
      <c r="F38" s="143"/>
      <c r="G38" s="143"/>
      <c r="H38" s="143"/>
      <c r="I38" s="143"/>
      <c r="J38" s="143"/>
      <c r="K38" s="143"/>
      <c r="L38" s="143"/>
      <c r="M38" s="143"/>
      <c r="N38" s="143"/>
      <c r="O38" s="143"/>
      <c r="P38" s="143"/>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row>
    <row r="39" spans="1:90" ht="14.25" x14ac:dyDescent="0.2">
      <c r="A39" s="6"/>
      <c r="B39" s="143"/>
      <c r="C39" s="143"/>
      <c r="D39" s="143"/>
      <c r="E39" s="143"/>
      <c r="F39" s="143"/>
      <c r="G39" s="143"/>
      <c r="H39" s="143"/>
      <c r="I39" s="143"/>
      <c r="J39" s="143"/>
      <c r="K39" s="143"/>
      <c r="L39" s="143"/>
      <c r="M39" s="143"/>
      <c r="N39" s="143"/>
      <c r="O39" s="143"/>
      <c r="P39" s="143"/>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row>
    <row r="40" spans="1:90" ht="14.25" x14ac:dyDescent="0.2">
      <c r="A40" s="6"/>
      <c r="B40" s="143"/>
      <c r="C40" s="143"/>
      <c r="D40" s="143"/>
      <c r="E40" s="143"/>
      <c r="F40" s="143"/>
      <c r="G40" s="143"/>
      <c r="H40" s="143"/>
      <c r="I40" s="143"/>
      <c r="J40" s="143"/>
      <c r="K40" s="143"/>
      <c r="L40" s="143"/>
      <c r="M40" s="143"/>
      <c r="N40" s="143"/>
      <c r="O40" s="143"/>
      <c r="P40" s="143"/>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row>
    <row r="41" spans="1:90" ht="14.25" x14ac:dyDescent="0.2">
      <c r="A41" s="6"/>
      <c r="B41" s="143"/>
      <c r="C41" s="143"/>
      <c r="D41" s="143"/>
      <c r="E41" s="143"/>
      <c r="F41" s="143"/>
      <c r="G41" s="143"/>
      <c r="H41" s="143"/>
      <c r="I41" s="143"/>
      <c r="J41" s="143"/>
      <c r="K41" s="143"/>
      <c r="L41" s="143"/>
      <c r="M41" s="143"/>
      <c r="N41" s="143"/>
      <c r="O41" s="143"/>
      <c r="P41" s="143"/>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row>
    <row r="42" spans="1:90" ht="14.25" x14ac:dyDescent="0.2">
      <c r="A42" s="6"/>
      <c r="B42" s="143"/>
      <c r="C42" s="143"/>
      <c r="D42" s="5" t="s">
        <v>329</v>
      </c>
      <c r="E42" s="143"/>
      <c r="F42" s="143"/>
      <c r="G42" s="143"/>
      <c r="H42" s="143"/>
      <c r="I42" s="143"/>
      <c r="J42" s="143"/>
      <c r="K42" s="143"/>
      <c r="L42" s="143"/>
      <c r="M42" s="143"/>
      <c r="N42" s="21" t="s">
        <v>642</v>
      </c>
      <c r="O42" s="143"/>
      <c r="P42" s="143"/>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row>
    <row r="43" spans="1:90" ht="14.25" x14ac:dyDescent="0.2">
      <c r="A43" s="6"/>
      <c r="B43" s="143"/>
      <c r="C43" s="224">
        <f>E7</f>
        <v>0</v>
      </c>
      <c r="D43" s="56"/>
      <c r="E43" s="56"/>
      <c r="F43" s="56"/>
      <c r="G43" s="143"/>
      <c r="H43" s="143"/>
      <c r="I43" s="143"/>
      <c r="J43" s="143"/>
      <c r="K43" s="143"/>
      <c r="L43" s="143"/>
      <c r="M43" s="1372">
        <f>H14</f>
        <v>0</v>
      </c>
      <c r="N43" s="1372"/>
      <c r="O43" s="1372"/>
      <c r="P43" s="143"/>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row>
    <row r="44" spans="1:90" ht="14.25" x14ac:dyDescent="0.2">
      <c r="A44" s="6"/>
      <c r="B44" s="143"/>
      <c r="C44" s="143"/>
      <c r="D44" s="168" t="s">
        <v>317</v>
      </c>
      <c r="E44" s="225">
        <f>Datos!K31</f>
        <v>0</v>
      </c>
      <c r="F44" s="143"/>
      <c r="G44" s="143"/>
      <c r="H44" s="143"/>
      <c r="I44" s="143"/>
      <c r="J44" s="143"/>
      <c r="K44" s="143"/>
      <c r="L44" s="143"/>
      <c r="M44" s="143"/>
      <c r="N44" s="206" t="s">
        <v>182</v>
      </c>
      <c r="O44" s="699"/>
      <c r="P44" s="143"/>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row>
    <row r="45" spans="1:90" ht="14.25" x14ac:dyDescent="0.2">
      <c r="A45" s="6"/>
      <c r="B45" s="143"/>
      <c r="C45" s="143"/>
      <c r="D45" s="168"/>
      <c r="E45" s="171"/>
      <c r="F45" s="143"/>
      <c r="G45" s="143"/>
      <c r="H45" s="143"/>
      <c r="I45" s="143"/>
      <c r="J45" s="143"/>
      <c r="K45" s="143"/>
      <c r="L45" s="143"/>
      <c r="M45" s="143"/>
      <c r="N45" s="168"/>
      <c r="O45" s="143"/>
      <c r="P45" s="143"/>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row>
    <row r="46" spans="1:90" ht="14.25" x14ac:dyDescent="0.2">
      <c r="A46" s="6"/>
      <c r="B46" s="720" t="s">
        <v>645</v>
      </c>
      <c r="C46" s="172"/>
      <c r="D46" s="172"/>
      <c r="E46" s="173"/>
      <c r="F46" s="172"/>
      <c r="G46" s="172"/>
      <c r="H46" s="172"/>
      <c r="I46" s="172"/>
      <c r="J46" s="152"/>
      <c r="K46" s="174"/>
      <c r="L46" s="1369" t="s">
        <v>630</v>
      </c>
      <c r="M46" s="1370"/>
      <c r="N46" s="1371"/>
      <c r="O46" s="143"/>
      <c r="P46" s="143"/>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row>
    <row r="47" spans="1:90" ht="14.25" x14ac:dyDescent="0.2">
      <c r="A47" s="6"/>
      <c r="B47" s="1346" t="s">
        <v>652</v>
      </c>
      <c r="C47" s="1363"/>
      <c r="D47" s="1363"/>
      <c r="E47" s="1347"/>
      <c r="F47" s="1346" t="s">
        <v>218</v>
      </c>
      <c r="G47" s="1347"/>
      <c r="H47" s="1346" t="s">
        <v>219</v>
      </c>
      <c r="I47" s="1347"/>
      <c r="J47" s="1346" t="s">
        <v>340</v>
      </c>
      <c r="K47" s="1363"/>
      <c r="L47" s="176">
        <v>1.0999999999999999E-2</v>
      </c>
      <c r="M47" s="177">
        <v>1.2E-2</v>
      </c>
      <c r="N47" s="175">
        <v>1.2999999999999999E-2</v>
      </c>
      <c r="O47" s="143"/>
      <c r="P47" s="143"/>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row>
    <row r="48" spans="1:90" ht="14.25" x14ac:dyDescent="0.2">
      <c r="A48" s="6"/>
      <c r="B48" s="1375"/>
      <c r="C48" s="1376"/>
      <c r="D48" s="1376"/>
      <c r="E48" s="1377"/>
      <c r="F48" s="1350"/>
      <c r="G48" s="1351"/>
      <c r="H48" s="1348"/>
      <c r="I48" s="1349"/>
      <c r="J48" s="1355" t="e">
        <f>ROUND(Datos!AC110,2)</f>
        <v>#VALUE!</v>
      </c>
      <c r="K48" s="1356"/>
      <c r="L48" s="207" t="e">
        <f>J34*1.1%</f>
        <v>#VALUE!</v>
      </c>
      <c r="M48" s="208" t="e">
        <f>J34*1.2%</f>
        <v>#VALUE!</v>
      </c>
      <c r="N48" s="209" t="e">
        <f>J34*1.3%</f>
        <v>#VALUE!</v>
      </c>
      <c r="O48" s="143"/>
      <c r="P48" s="143"/>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row>
    <row r="49" spans="1:90" ht="14.25" x14ac:dyDescent="0.2">
      <c r="A49" s="6"/>
      <c r="B49" s="153"/>
      <c r="C49" s="40"/>
      <c r="D49" s="6"/>
      <c r="E49" s="155"/>
      <c r="F49" s="156"/>
      <c r="G49" s="157"/>
      <c r="H49" s="46"/>
      <c r="I49" s="46"/>
      <c r="J49" s="143"/>
      <c r="K49" s="143"/>
      <c r="L49" s="143"/>
      <c r="M49" s="143"/>
      <c r="N49" s="143"/>
      <c r="O49" s="143"/>
      <c r="P49" s="143"/>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row>
    <row r="50" spans="1:90" ht="14.25" x14ac:dyDescent="0.2">
      <c r="A50" s="6"/>
      <c r="B50" s="720" t="s">
        <v>651</v>
      </c>
      <c r="C50" s="121"/>
      <c r="D50" s="121"/>
      <c r="E50" s="121"/>
      <c r="F50" s="121"/>
      <c r="G50" s="121"/>
      <c r="H50" s="60"/>
      <c r="I50" s="60"/>
      <c r="J50" s="152"/>
      <c r="K50" s="152"/>
      <c r="L50" s="60"/>
      <c r="M50" s="60"/>
      <c r="N50" s="154"/>
      <c r="O50" s="719"/>
      <c r="P50" s="143"/>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row>
    <row r="51" spans="1:90" ht="14.25" x14ac:dyDescent="0.2">
      <c r="A51" s="6"/>
      <c r="B51" s="1357" t="s">
        <v>652</v>
      </c>
      <c r="C51" s="1352"/>
      <c r="D51" s="1352"/>
      <c r="E51" s="1353"/>
      <c r="F51" s="1357" t="s">
        <v>218</v>
      </c>
      <c r="G51" s="1353"/>
      <c r="H51" s="1357" t="s">
        <v>219</v>
      </c>
      <c r="I51" s="1353"/>
      <c r="J51" s="1352" t="s">
        <v>340</v>
      </c>
      <c r="K51" s="1353"/>
      <c r="L51" s="6"/>
      <c r="M51" s="6"/>
      <c r="N51" s="1354"/>
      <c r="O51" s="1354"/>
      <c r="P51" s="143"/>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row>
    <row r="52" spans="1:90" ht="14.25" x14ac:dyDescent="0.2">
      <c r="A52" s="6"/>
      <c r="B52" s="1375"/>
      <c r="C52" s="1376"/>
      <c r="D52" s="1376"/>
      <c r="E52" s="1377"/>
      <c r="F52" s="1350"/>
      <c r="G52" s="1351"/>
      <c r="H52" s="1348"/>
      <c r="I52" s="1349"/>
      <c r="J52" s="1356" t="e">
        <f>ROUND(J34*0.1,2)</f>
        <v>#VALUE!</v>
      </c>
      <c r="K52" s="1359"/>
      <c r="L52" s="6"/>
      <c r="M52" s="6"/>
      <c r="N52" s="1358"/>
      <c r="O52" s="1358"/>
      <c r="P52" s="143"/>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row>
    <row r="53" spans="1:90" ht="14.25" x14ac:dyDescent="0.2">
      <c r="A53" s="6"/>
      <c r="B53" s="153"/>
      <c r="C53" s="46"/>
      <c r="D53" s="158"/>
      <c r="E53" s="159"/>
      <c r="F53" s="6"/>
      <c r="G53" s="6"/>
      <c r="H53" s="6"/>
      <c r="I53" s="6"/>
      <c r="J53" s="157"/>
      <c r="K53" s="157"/>
      <c r="L53" s="6"/>
      <c r="M53" s="6"/>
      <c r="N53" s="1345"/>
      <c r="O53" s="1345"/>
      <c r="P53" s="143"/>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row>
    <row r="54" spans="1:90" ht="14.25" x14ac:dyDescent="0.2">
      <c r="A54" s="160" t="s">
        <v>575</v>
      </c>
      <c r="B54" s="6"/>
      <c r="C54" s="46"/>
      <c r="D54" s="158"/>
      <c r="E54" s="159"/>
      <c r="F54" s="161"/>
      <c r="G54" s="161"/>
      <c r="H54" s="6"/>
      <c r="I54" s="6"/>
      <c r="J54" s="143"/>
      <c r="K54" s="143"/>
      <c r="L54" s="162" t="s">
        <v>653</v>
      </c>
      <c r="M54" s="96"/>
      <c r="N54" s="163"/>
      <c r="O54" s="164"/>
      <c r="P54" s="143"/>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row>
    <row r="55" spans="1:90" ht="14.25" x14ac:dyDescent="0.2">
      <c r="A55" s="5" t="s">
        <v>576</v>
      </c>
      <c r="B55" s="6"/>
      <c r="C55" s="143"/>
      <c r="D55" s="143"/>
      <c r="E55" s="143"/>
      <c r="F55" s="143"/>
      <c r="G55" s="143"/>
      <c r="H55" s="143"/>
      <c r="I55" s="143"/>
      <c r="J55" s="143"/>
      <c r="K55" s="143"/>
      <c r="L55" s="165"/>
      <c r="M55" s="6"/>
      <c r="N55" s="143"/>
      <c r="O55" s="166"/>
      <c r="P55" s="143"/>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row>
    <row r="56" spans="1:90" ht="14.25" x14ac:dyDescent="0.2">
      <c r="A56" s="6" t="s">
        <v>580</v>
      </c>
      <c r="B56" s="143"/>
      <c r="C56" s="143"/>
      <c r="D56" s="143"/>
      <c r="E56" s="143"/>
      <c r="F56" s="143"/>
      <c r="G56" s="143"/>
      <c r="H56" s="143"/>
      <c r="I56" s="143"/>
      <c r="J56" s="143"/>
      <c r="K56" s="143"/>
      <c r="L56" s="165"/>
      <c r="M56" s="143"/>
      <c r="N56" s="143"/>
      <c r="O56" s="166"/>
      <c r="P56" s="143"/>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row>
    <row r="57" spans="1:90" ht="14.25" x14ac:dyDescent="0.2">
      <c r="A57" s="6"/>
      <c r="B57" s="6"/>
      <c r="C57" s="143"/>
      <c r="D57" s="143"/>
      <c r="E57" s="143"/>
      <c r="F57" s="143"/>
      <c r="G57" s="143"/>
      <c r="H57" s="143"/>
      <c r="I57" s="143"/>
      <c r="J57" s="143"/>
      <c r="K57" s="143"/>
      <c r="L57" s="165"/>
      <c r="M57" s="143"/>
      <c r="N57" s="143"/>
      <c r="O57" s="166"/>
      <c r="P57" s="143"/>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row>
    <row r="58" spans="1:90" ht="14.25" x14ac:dyDescent="0.2">
      <c r="A58" s="15" t="s">
        <v>661</v>
      </c>
      <c r="B58" s="6"/>
      <c r="C58" s="143"/>
      <c r="D58" s="143"/>
      <c r="E58" s="143"/>
      <c r="F58" s="143"/>
      <c r="G58" s="143"/>
      <c r="H58" s="143"/>
      <c r="I58" s="143"/>
      <c r="J58" s="143"/>
      <c r="K58" s="143"/>
      <c r="L58" s="165"/>
      <c r="M58" s="143"/>
      <c r="N58" s="143"/>
      <c r="O58" s="166"/>
      <c r="P58" s="143"/>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row>
    <row r="59" spans="1:90" ht="14.25" x14ac:dyDescent="0.2">
      <c r="A59" s="5" t="s">
        <v>659</v>
      </c>
      <c r="B59" s="6"/>
      <c r="C59" s="143"/>
      <c r="D59" s="143"/>
      <c r="E59" s="143"/>
      <c r="F59" s="143"/>
      <c r="G59" s="143"/>
      <c r="H59" s="143"/>
      <c r="I59" s="143"/>
      <c r="J59" s="143"/>
      <c r="K59" s="143"/>
      <c r="L59" s="165"/>
      <c r="M59" s="143"/>
      <c r="N59" s="143"/>
      <c r="O59" s="166"/>
      <c r="P59" s="143"/>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row>
    <row r="60" spans="1:90" ht="14.25" x14ac:dyDescent="0.2">
      <c r="A60" s="6"/>
      <c r="B60" s="143"/>
      <c r="C60" s="143"/>
      <c r="D60" s="143"/>
      <c r="E60" s="143"/>
      <c r="F60" s="143"/>
      <c r="G60" s="143"/>
      <c r="H60" s="143"/>
      <c r="I60" s="143"/>
      <c r="J60" s="143"/>
      <c r="K60" s="143"/>
      <c r="L60" s="165"/>
      <c r="M60" s="143"/>
      <c r="N60" s="143"/>
      <c r="O60" s="166"/>
      <c r="P60" s="143"/>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row>
    <row r="61" spans="1:90" ht="14.25" x14ac:dyDescent="0.2">
      <c r="A61" s="15" t="s">
        <v>662</v>
      </c>
      <c r="B61" s="6"/>
      <c r="C61" s="143"/>
      <c r="D61" s="143"/>
      <c r="E61" s="143"/>
      <c r="F61" s="143"/>
      <c r="G61" s="143"/>
      <c r="H61" s="143"/>
      <c r="I61" s="143"/>
      <c r="J61" s="143"/>
      <c r="K61" s="143"/>
      <c r="L61" s="165"/>
      <c r="M61" s="143"/>
      <c r="N61" s="143"/>
      <c r="O61" s="166"/>
      <c r="P61" s="143"/>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row>
    <row r="62" spans="1:90" ht="14.25" x14ac:dyDescent="0.2">
      <c r="A62" s="15" t="s">
        <v>660</v>
      </c>
      <c r="B62" s="6"/>
      <c r="C62" s="143"/>
      <c r="D62" s="143"/>
      <c r="E62" s="143"/>
      <c r="F62" s="143"/>
      <c r="G62" s="143"/>
      <c r="H62" s="143"/>
      <c r="I62" s="143"/>
      <c r="J62" s="143"/>
      <c r="K62" s="143"/>
      <c r="L62" s="165"/>
      <c r="M62" s="143"/>
      <c r="N62" s="143"/>
      <c r="O62" s="166"/>
      <c r="P62" s="143"/>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row>
    <row r="63" spans="1:90" ht="14.25" x14ac:dyDescent="0.2">
      <c r="A63" s="6"/>
      <c r="B63" s="143"/>
      <c r="C63" s="143"/>
      <c r="D63" s="143"/>
      <c r="E63" s="143"/>
      <c r="F63" s="143"/>
      <c r="G63" s="143"/>
      <c r="H63" s="143"/>
      <c r="I63" s="143"/>
      <c r="J63" s="143"/>
      <c r="K63" s="143"/>
      <c r="L63" s="165"/>
      <c r="M63" s="143"/>
      <c r="N63" s="143"/>
      <c r="O63" s="166"/>
      <c r="P63" s="143"/>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row>
    <row r="64" spans="1:90" x14ac:dyDescent="0.2">
      <c r="A64" s="6"/>
      <c r="B64" s="6"/>
      <c r="C64" s="6"/>
      <c r="D64" s="6"/>
      <c r="E64" s="6"/>
      <c r="F64" s="6"/>
      <c r="G64" s="6"/>
      <c r="H64" s="6"/>
      <c r="I64" s="6"/>
      <c r="J64" s="6"/>
      <c r="K64" s="6"/>
      <c r="L64" s="167"/>
      <c r="M64" s="47"/>
      <c r="N64" s="47"/>
      <c r="O64" s="102"/>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row>
    <row r="65" spans="1:90"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row>
    <row r="66" spans="1:90"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row>
    <row r="67" spans="1:90"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row>
    <row r="68" spans="1:90"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row>
    <row r="69" spans="1:90"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row>
    <row r="70" spans="1:90"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row>
    <row r="71" spans="1:90"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row>
    <row r="72" spans="1:90"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row>
    <row r="73" spans="1:90"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row>
    <row r="74" spans="1:90"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row>
    <row r="75" spans="1:90"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row>
    <row r="76" spans="1:90"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row>
    <row r="77" spans="1:90"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row>
    <row r="78" spans="1:90"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row>
    <row r="79" spans="1:90"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row>
    <row r="80" spans="1:90"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row>
    <row r="81" spans="1:90"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row>
    <row r="82" spans="1:90"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row>
    <row r="83" spans="1:90"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row>
    <row r="84" spans="1:90"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row>
    <row r="85" spans="1:90"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row>
    <row r="86" spans="1:90"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row>
    <row r="87" spans="1:90"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row>
    <row r="88" spans="1:90"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row>
    <row r="89" spans="1:90"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row>
    <row r="90" spans="1:90"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row>
    <row r="91" spans="1:90"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row>
    <row r="92" spans="1:90"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row>
    <row r="93" spans="1:90"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row>
    <row r="94" spans="1:90"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row>
    <row r="95" spans="1:90"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row>
    <row r="96" spans="1:90"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row>
    <row r="97" spans="1:90"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row>
    <row r="98" spans="1:90"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row>
    <row r="99" spans="1:90"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row>
    <row r="100" spans="1:90"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row>
    <row r="101" spans="1:90"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sheetData>
  <sheetProtection password="F696" sheet="1" objects="1" scenarios="1" selectLockedCells="1"/>
  <customSheetViews>
    <customSheetView guid="{3DA56FC4-53DE-48E1-9C8B-99A7C6BEC59A}" scale="75" showRuler="0" topLeftCell="E1">
      <selection activeCell="AJ61" sqref="S1:AJ61"/>
      <pageMargins left="0.39370078740157483" right="0.23622047244094491" top="0.98425196850393704" bottom="0.98425196850393704" header="0.23622047244094491" footer="0"/>
      <pageSetup paperSize="5" orientation="portrait" horizontalDpi="0" verticalDpi="0" r:id="rId1"/>
      <headerFooter alignWithMargins="0"/>
    </customSheetView>
    <customSheetView guid="{3055A696-E36D-42C0-8DEA-BCF75BC71F7B}" scale="95" topLeftCell="A19">
      <selection activeCell="J34" sqref="J34:K34"/>
      <pageMargins left="0.51181102362204722" right="0.23622047244094491" top="0.55118110236220474" bottom="0.59055118110236227" header="0.15748031496062992" footer="0"/>
      <pageSetup paperSize="5" orientation="portrait" horizontalDpi="0" verticalDpi="0" r:id="rId2"/>
      <headerFooter alignWithMargins="0"/>
    </customSheetView>
  </customSheetViews>
  <mergeCells count="70">
    <mergeCell ref="H30:I30"/>
    <mergeCell ref="J30:K30"/>
    <mergeCell ref="F26:G26"/>
    <mergeCell ref="C26:D26"/>
    <mergeCell ref="F23:G23"/>
    <mergeCell ref="B51:E51"/>
    <mergeCell ref="B48:E48"/>
    <mergeCell ref="B52:E52"/>
    <mergeCell ref="D22:E22"/>
    <mergeCell ref="D23:E23"/>
    <mergeCell ref="M25:N25"/>
    <mergeCell ref="H25:L25"/>
    <mergeCell ref="H35:O35"/>
    <mergeCell ref="A35:G35"/>
    <mergeCell ref="J47:K47"/>
    <mergeCell ref="B47:E47"/>
    <mergeCell ref="M26:N26"/>
    <mergeCell ref="M27:N27"/>
    <mergeCell ref="J34:K34"/>
    <mergeCell ref="C29:D29"/>
    <mergeCell ref="J29:K29"/>
    <mergeCell ref="L46:N46"/>
    <mergeCell ref="M43:O43"/>
    <mergeCell ref="A26:B26"/>
    <mergeCell ref="J31:K31"/>
    <mergeCell ref="J26:K26"/>
    <mergeCell ref="N53:O53"/>
    <mergeCell ref="H47:I47"/>
    <mergeCell ref="H48:I48"/>
    <mergeCell ref="F47:G47"/>
    <mergeCell ref="F48:G48"/>
    <mergeCell ref="F52:G52"/>
    <mergeCell ref="J51:K51"/>
    <mergeCell ref="N51:O51"/>
    <mergeCell ref="J48:K48"/>
    <mergeCell ref="F51:G51"/>
    <mergeCell ref="H51:I51"/>
    <mergeCell ref="N52:O52"/>
    <mergeCell ref="J52:K52"/>
    <mergeCell ref="H52:I52"/>
    <mergeCell ref="E7:M7"/>
    <mergeCell ref="D21:E21"/>
    <mergeCell ref="D3:O3"/>
    <mergeCell ref="D20:E20"/>
    <mergeCell ref="F20:G20"/>
    <mergeCell ref="J20:K20"/>
    <mergeCell ref="M20:N20"/>
    <mergeCell ref="A15:D15"/>
    <mergeCell ref="J15:M15"/>
    <mergeCell ref="M21:N21"/>
    <mergeCell ref="O15:P15"/>
    <mergeCell ref="D9:F9"/>
    <mergeCell ref="J9:K9"/>
    <mergeCell ref="L9:O9"/>
    <mergeCell ref="H14:M14"/>
    <mergeCell ref="G15:I15"/>
    <mergeCell ref="H9:I9"/>
    <mergeCell ref="M22:N22"/>
    <mergeCell ref="F22:G22"/>
    <mergeCell ref="F24:G24"/>
    <mergeCell ref="F21:G21"/>
    <mergeCell ref="H24:I24"/>
    <mergeCell ref="J21:K21"/>
    <mergeCell ref="M23:N23"/>
    <mergeCell ref="M24:N24"/>
    <mergeCell ref="N10:O10"/>
    <mergeCell ref="J16:K16"/>
    <mergeCell ref="J22:K22"/>
    <mergeCell ref="J23:K23"/>
    <mergeCell ref="J24:K24"/>
  </mergeCells>
  <phoneticPr fontId="20" type="noConversion"/>
  <dataValidations count="2">
    <dataValidation type="date" errorStyle="information" allowBlank="1" showInputMessage="1" showErrorMessage="1" errorTitle="Fecha invalida" error="Debe estar comprendida entre el 01/01/2010 y el 31/12/2020." promptTitle="  Formato" prompt="dd/mm/aaaa" sqref="O7" xr:uid="{00000000-0002-0000-0800-000000000000}">
      <formula1>36526</formula1>
      <formula2>44196</formula2>
    </dataValidation>
    <dataValidation type="date" errorStyle="information" allowBlank="1" showInputMessage="1" showErrorMessage="1" errorTitle="Fecha invalida" error="Debe estar comprendida entre 01/01/2010 al 31/12/2020" promptTitle="  Formato" prompt="dd/mm/aaaa" sqref="F52:G52 F48:G48" xr:uid="{00000000-0002-0000-0800-000001000000}">
      <formula1>40179</formula1>
      <formula2>44196</formula2>
    </dataValidation>
  </dataValidations>
  <pageMargins left="0.51181102362204722" right="0.23622047244094491" top="0.55118110236220474" bottom="0.59055118110236227" header="0.15748031496062992" footer="0"/>
  <pageSetup paperSize="5" orientation="portrait" verticalDpi="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Acta Est. Obra</vt:lpstr>
      <vt:lpstr>Datos</vt:lpstr>
      <vt:lpstr>Anexa</vt:lpstr>
      <vt:lpstr>Cont 9 art</vt:lpstr>
      <vt:lpstr>Cont 11 art</vt:lpstr>
      <vt:lpstr>Cont-Transcrip.Corrida</vt:lpstr>
      <vt:lpstr>Art. 29</vt:lpstr>
      <vt:lpstr>Reaj.</vt:lpstr>
      <vt:lpstr>Cert. Constructor</vt:lpstr>
      <vt:lpstr>Importe</vt:lpstr>
      <vt:lpstr>Cálculos</vt:lpstr>
      <vt:lpstr>Inf.Tec-</vt:lpstr>
      <vt:lpstr>INF.TEC-POR M2</vt:lpstr>
      <vt:lpstr>R-115U</vt:lpstr>
      <vt:lpstr>'Acta Est. Obra'!Área_de_impresión</vt:lpstr>
      <vt:lpstr>Anexa!Área_de_impresión</vt:lpstr>
      <vt:lpstr>'Art. 29'!Área_de_impresión</vt:lpstr>
      <vt:lpstr>'Cert. Constructor'!Área_de_impresión</vt:lpstr>
      <vt:lpstr>'Cont 11 art'!Área_de_impresión</vt:lpstr>
      <vt:lpstr>'Cont 9 art'!Área_de_impresión</vt:lpstr>
      <vt:lpstr>'Cont-Transcrip.Corrida'!Área_de_impresión</vt:lpstr>
      <vt:lpstr>Reaj.!Área_de_impresión</vt:lpstr>
    </vt:vector>
  </TitlesOfParts>
  <Company>M.M.de Obras-Agrimensor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 de Arquitectura</dc:title>
  <dc:creator>Julio Estoup</dc:creator>
  <cp:lastModifiedBy>Visado</cp:lastModifiedBy>
  <cp:lastPrinted>2023-08-09T15:43:32Z</cp:lastPrinted>
  <dcterms:created xsi:type="dcterms:W3CDTF">2010-07-27T22:29:46Z</dcterms:created>
  <dcterms:modified xsi:type="dcterms:W3CDTF">2024-03-27T14:05:10Z</dcterms:modified>
</cp:coreProperties>
</file>